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578" documentId="13_ncr:1_{4FD11FE5-43F8-4748-B76F-6F536DA41AE4}" xr6:coauthVersionLast="47" xr6:coauthVersionMax="47" xr10:uidLastSave="{F96F535C-AE25-47BC-B693-956CEF49F41A}"/>
  <bookViews>
    <workbookView xWindow="380" yWindow="380" windowWidth="13720" windowHeight="10880" tabRatio="623" xr2:uid="{00000000-000D-0000-FFFF-FFFF00000000}"/>
  </bookViews>
  <sheets>
    <sheet name="全国" sheetId="8" r:id="rId1"/>
    <sheet name="北東" sheetId="2" r:id="rId2"/>
    <sheet name="関東" sheetId="3" r:id="rId3"/>
    <sheet name="中部" sheetId="4" r:id="rId4"/>
    <sheet name="近畿" sheetId="5" r:id="rId5"/>
    <sheet name="中四" sheetId="6" r:id="rId6"/>
    <sheet name="九沖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7" i="8" l="1"/>
  <c r="F136" i="8"/>
  <c r="F135" i="8"/>
  <c r="F140" i="8"/>
  <c r="F139" i="8"/>
  <c r="F138" i="8"/>
  <c r="F132" i="8"/>
  <c r="F129" i="8"/>
  <c r="F126" i="8"/>
  <c r="F123" i="8"/>
  <c r="F120" i="8"/>
  <c r="F117" i="8"/>
  <c r="F111" i="8"/>
  <c r="F108" i="8"/>
  <c r="F134" i="8"/>
  <c r="F133" i="8"/>
  <c r="F105" i="8" l="1"/>
  <c r="F102" i="8"/>
  <c r="F131" i="8" l="1"/>
  <c r="F130" i="8"/>
  <c r="F125" i="8"/>
  <c r="F124" i="8"/>
  <c r="F128" i="8"/>
  <c r="F127" i="8"/>
  <c r="F122" i="8"/>
  <c r="F121" i="8"/>
  <c r="F114" i="8" l="1"/>
  <c r="F115" i="8"/>
  <c r="F116" i="8"/>
  <c r="F118" i="8"/>
  <c r="F119" i="8"/>
  <c r="F113" i="8"/>
  <c r="F112" i="8"/>
  <c r="F107" i="8" l="1"/>
  <c r="F106" i="8"/>
  <c r="F104" i="8"/>
  <c r="F103" i="8"/>
  <c r="F109" i="8" l="1"/>
  <c r="F110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4" i="8" l="1"/>
  <c r="F85" i="8"/>
  <c r="F86" i="8" l="1"/>
  <c r="F83" i="8" l="1"/>
  <c r="F82" i="8"/>
  <c r="F81" i="8"/>
  <c r="F78" i="8" l="1"/>
  <c r="F75" i="8"/>
  <c r="F72" i="8" l="1"/>
  <c r="F79" i="8" l="1"/>
  <c r="F80" i="8"/>
  <c r="F74" i="8" l="1"/>
  <c r="F73" i="8"/>
  <c r="F77" i="8" l="1"/>
  <c r="F76" i="8"/>
  <c r="F69" i="8" l="1"/>
  <c r="F71" i="8" l="1"/>
  <c r="F70" i="8"/>
  <c r="F18" i="7" l="1"/>
  <c r="F15" i="7"/>
  <c r="F12" i="7"/>
  <c r="F9" i="7"/>
  <c r="F6" i="7"/>
  <c r="F3" i="7"/>
  <c r="F21" i="6"/>
  <c r="F18" i="6"/>
  <c r="F15" i="6"/>
  <c r="F12" i="6"/>
  <c r="F9" i="6"/>
  <c r="F6" i="6"/>
  <c r="F3" i="6"/>
  <c r="F18" i="5"/>
  <c r="F15" i="5"/>
  <c r="F12" i="5"/>
  <c r="F9" i="5"/>
  <c r="F6" i="5"/>
  <c r="F3" i="5"/>
  <c r="F18" i="4"/>
  <c r="F15" i="4"/>
  <c r="F12" i="4"/>
  <c r="F9" i="4"/>
  <c r="F6" i="4"/>
  <c r="F3" i="4"/>
  <c r="F21" i="3" l="1"/>
  <c r="F18" i="3"/>
  <c r="F15" i="3"/>
  <c r="F12" i="3"/>
  <c r="F9" i="3"/>
  <c r="F6" i="3"/>
  <c r="F4" i="3"/>
  <c r="F3" i="3"/>
  <c r="F21" i="2"/>
  <c r="F18" i="2"/>
  <c r="F16" i="2"/>
  <c r="F15" i="2"/>
  <c r="F12" i="2"/>
  <c r="F9" i="2"/>
  <c r="F6" i="2"/>
  <c r="F3" i="2"/>
  <c r="F66" i="8" l="1"/>
  <c r="F68" i="8" l="1"/>
  <c r="F67" i="8"/>
  <c r="F48" i="8" l="1"/>
  <c r="F32" i="8" l="1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63" i="8" l="1"/>
  <c r="F60" i="8"/>
  <c r="F57" i="8"/>
  <c r="F54" i="8"/>
  <c r="F51" i="8"/>
  <c r="F45" i="8"/>
  <c r="F42" i="8"/>
  <c r="F39" i="8"/>
  <c r="F36" i="8"/>
  <c r="F33" i="8"/>
  <c r="F65" i="8" l="1"/>
  <c r="F64" i="8"/>
  <c r="F20" i="7" l="1"/>
  <c r="F19" i="7"/>
  <c r="F17" i="7"/>
  <c r="F16" i="7"/>
  <c r="F14" i="7"/>
  <c r="F13" i="7"/>
  <c r="F11" i="7"/>
  <c r="F10" i="7"/>
  <c r="F8" i="7"/>
  <c r="F7" i="7"/>
  <c r="F5" i="7"/>
  <c r="F4" i="7"/>
  <c r="F23" i="6"/>
  <c r="F22" i="6"/>
  <c r="F20" i="6"/>
  <c r="F19" i="6"/>
  <c r="F17" i="6"/>
  <c r="F16" i="6"/>
  <c r="F14" i="6"/>
  <c r="F13" i="6"/>
  <c r="F11" i="6"/>
  <c r="F10" i="6"/>
  <c r="F8" i="6"/>
  <c r="F7" i="6"/>
  <c r="F5" i="6"/>
  <c r="F4" i="6"/>
  <c r="F20" i="5"/>
  <c r="F19" i="5"/>
  <c r="F17" i="5"/>
  <c r="F16" i="5"/>
  <c r="F14" i="5"/>
  <c r="F13" i="5"/>
  <c r="F11" i="5"/>
  <c r="F10" i="5"/>
  <c r="F8" i="5"/>
  <c r="F7" i="5"/>
  <c r="F5" i="5"/>
  <c r="F4" i="5"/>
  <c r="F20" i="4"/>
  <c r="F19" i="4"/>
  <c r="F17" i="4"/>
  <c r="F16" i="4"/>
  <c r="F14" i="4"/>
  <c r="F13" i="4"/>
  <c r="F11" i="4"/>
  <c r="F10" i="4"/>
  <c r="F8" i="4"/>
  <c r="F7" i="4"/>
  <c r="F5" i="4"/>
  <c r="F4" i="4"/>
  <c r="F23" i="3"/>
  <c r="F22" i="3"/>
  <c r="F20" i="3"/>
  <c r="F19" i="3"/>
  <c r="F17" i="3"/>
  <c r="F16" i="3"/>
  <c r="F14" i="3"/>
  <c r="F13" i="3"/>
  <c r="F11" i="3"/>
  <c r="F10" i="3"/>
  <c r="F8" i="3"/>
  <c r="F7" i="3"/>
  <c r="F5" i="3"/>
  <c r="F23" i="2"/>
  <c r="F22" i="2"/>
  <c r="F20" i="2"/>
  <c r="F19" i="2"/>
  <c r="F17" i="2"/>
  <c r="F14" i="2"/>
  <c r="F13" i="2"/>
  <c r="F11" i="2"/>
  <c r="F10" i="2"/>
  <c r="F8" i="2"/>
  <c r="F7" i="2"/>
  <c r="F5" i="2"/>
  <c r="F4" i="2"/>
  <c r="F62" i="8"/>
  <c r="F61" i="8"/>
  <c r="F59" i="8"/>
  <c r="F58" i="8"/>
  <c r="F56" i="8"/>
  <c r="F55" i="8"/>
  <c r="F53" i="8"/>
  <c r="F52" i="8"/>
  <c r="F50" i="8"/>
  <c r="F49" i="8"/>
  <c r="F47" i="8"/>
  <c r="F46" i="8"/>
  <c r="F44" i="8"/>
  <c r="F43" i="8"/>
  <c r="F41" i="8"/>
  <c r="F40" i="8"/>
  <c r="F38" i="8"/>
  <c r="F37" i="8"/>
  <c r="F35" i="8"/>
  <c r="F34" i="8"/>
</calcChain>
</file>

<file path=xl/sharedStrings.xml><?xml version="1.0" encoding="utf-8"?>
<sst xmlns="http://schemas.openxmlformats.org/spreadsheetml/2006/main" count="1797" uniqueCount="1358">
  <si>
    <t>所属</t>
    <rPh sb="0" eb="2">
      <t>ショゾク</t>
    </rPh>
    <phoneticPr fontId="7"/>
  </si>
  <si>
    <t>タイプ</t>
    <phoneticPr fontId="7"/>
  </si>
  <si>
    <t>隊士名</t>
    <rPh sb="0" eb="2">
      <t>タイシ</t>
    </rPh>
    <rPh sb="2" eb="3">
      <t>メイ</t>
    </rPh>
    <phoneticPr fontId="7"/>
  </si>
  <si>
    <t>コスト</t>
    <phoneticPr fontId="7"/>
  </si>
  <si>
    <t>スキル名</t>
    <rPh sb="3" eb="4">
      <t>メイ</t>
    </rPh>
    <phoneticPr fontId="7"/>
  </si>
  <si>
    <t>近畿</t>
    <rPh sb="0" eb="2">
      <t>キンキ</t>
    </rPh>
    <phoneticPr fontId="7"/>
  </si>
  <si>
    <t>おへやしゅてんどうじ</t>
    <phoneticPr fontId="7"/>
  </si>
  <si>
    <t>酒香る寛ぎの時間</t>
    <rPh sb="0" eb="1">
      <t>サケ</t>
    </rPh>
    <rPh sb="1" eb="2">
      <t>カオ</t>
    </rPh>
    <rPh sb="3" eb="4">
      <t>クツロ</t>
    </rPh>
    <rPh sb="6" eb="8">
      <t>ジカン</t>
    </rPh>
    <phoneticPr fontId="7"/>
  </si>
  <si>
    <t>妖怪</t>
    <rPh sb="0" eb="2">
      <t>ヨウカイ</t>
    </rPh>
    <phoneticPr fontId="7"/>
  </si>
  <si>
    <t>知性派</t>
    <phoneticPr fontId="7"/>
  </si>
  <si>
    <t>武人</t>
    <phoneticPr fontId="7"/>
  </si>
  <si>
    <t>いんえいしゅてんどうじ</t>
    <phoneticPr fontId="7"/>
  </si>
  <si>
    <t>横道無き悪鬼の想い</t>
    <phoneticPr fontId="7"/>
  </si>
  <si>
    <t>うきよえしゅてんどうじ</t>
    <phoneticPr fontId="7"/>
  </si>
  <si>
    <t>魂吹き込む鬼の筆</t>
    <phoneticPr fontId="7"/>
  </si>
  <si>
    <t>飲食</t>
    <rPh sb="0" eb="2">
      <t>インショク</t>
    </rPh>
    <phoneticPr fontId="7"/>
  </si>
  <si>
    <t>うんどうかいおにきりまる</t>
    <phoneticPr fontId="7"/>
  </si>
  <si>
    <t>鬼の如く斬るテープ</t>
    <phoneticPr fontId="7"/>
  </si>
  <si>
    <t>つきみざけおにきりまる</t>
    <phoneticPr fontId="7"/>
  </si>
  <si>
    <t>月夜想う懐かしの宿敵</t>
    <phoneticPr fontId="7"/>
  </si>
  <si>
    <t>らしょうもんおにきりまる</t>
    <phoneticPr fontId="7"/>
  </si>
  <si>
    <t>大胆不敵な鬼切の笑み</t>
    <phoneticPr fontId="7"/>
  </si>
  <si>
    <t>九州・沖縄</t>
    <rPh sb="0" eb="2">
      <t>キュウシュウ</t>
    </rPh>
    <rPh sb="3" eb="5">
      <t>オキナワ</t>
    </rPh>
    <phoneticPr fontId="7"/>
  </si>
  <si>
    <t>姫</t>
    <rPh sb="0" eb="1">
      <t>ヒメ</t>
    </rPh>
    <phoneticPr fontId="7"/>
  </si>
  <si>
    <t>名物</t>
    <rPh sb="0" eb="2">
      <t>メイブツ</t>
    </rPh>
    <phoneticPr fontId="7"/>
  </si>
  <si>
    <t>おうきゅうあつひめ</t>
    <phoneticPr fontId="7"/>
  </si>
  <si>
    <t>王宮に舞う御台所</t>
    <phoneticPr fontId="7"/>
  </si>
  <si>
    <t>さつまきりこあつひめ</t>
    <phoneticPr fontId="7"/>
  </si>
  <si>
    <t>切子に刻む明治模様</t>
    <phoneticPr fontId="7"/>
  </si>
  <si>
    <t>にんじゃあつひめ</t>
    <phoneticPr fontId="7"/>
  </si>
  <si>
    <t>島津の草の者</t>
    <phoneticPr fontId="7"/>
  </si>
  <si>
    <t>伝承</t>
    <rPh sb="0" eb="2">
      <t>デンショウ</t>
    </rPh>
    <phoneticPr fontId="7"/>
  </si>
  <si>
    <t>ゆけむりあわもりちゃん</t>
    <phoneticPr fontId="7"/>
  </si>
  <si>
    <t>島の恵みに飲み過ぎ注意</t>
    <phoneticPr fontId="7"/>
  </si>
  <si>
    <t>くうこあわもりちゃん</t>
    <phoneticPr fontId="7"/>
  </si>
  <si>
    <t>酔った空狐の善行</t>
    <phoneticPr fontId="7"/>
  </si>
  <si>
    <t>やまたいこくあわもりちゃん</t>
    <phoneticPr fontId="7"/>
  </si>
  <si>
    <t>飲み干す神宿る泡盛</t>
    <phoneticPr fontId="7"/>
  </si>
  <si>
    <t>タイプ伝承・武人・名物の攻50％UP　/　タイプ【姫】の攻25％UP</t>
    <phoneticPr fontId="7"/>
  </si>
  <si>
    <t>タイプ偉人・妖怪・知性派の攻50％UP　/　タイプ【名物】の攻25％UP</t>
    <phoneticPr fontId="7"/>
  </si>
  <si>
    <t>タイプ飲食・神秘・姫の攻50％UP　/　タイプ【知性派】の攻25％UP</t>
    <phoneticPr fontId="7"/>
  </si>
  <si>
    <t>関東</t>
    <rPh sb="0" eb="2">
      <t>カントウ</t>
    </rPh>
    <phoneticPr fontId="7"/>
  </si>
  <si>
    <t>神秘</t>
    <rPh sb="0" eb="2">
      <t>シンピ</t>
    </rPh>
    <phoneticPr fontId="7"/>
  </si>
  <si>
    <t>くりすますぱーてぃかんだみょうじん</t>
    <phoneticPr fontId="7"/>
  </si>
  <si>
    <t>じゃっくふろすとかんだみょうじん</t>
    <phoneticPr fontId="7"/>
  </si>
  <si>
    <t>ようきひかんだみょうじん</t>
    <phoneticPr fontId="7"/>
  </si>
  <si>
    <t>聖なる祭りは江戸の華</t>
    <phoneticPr fontId="7"/>
  </si>
  <si>
    <t>吹雪のような荒ぶる守護神</t>
    <phoneticPr fontId="7"/>
  </si>
  <si>
    <t>寵姫が辿る悲劇の運命</t>
    <phoneticPr fontId="7"/>
  </si>
  <si>
    <t>北海道・東北</t>
    <rPh sb="0" eb="3">
      <t>ホッカイドウ</t>
    </rPh>
    <rPh sb="4" eb="6">
      <t>トウホク</t>
    </rPh>
    <phoneticPr fontId="7"/>
  </si>
  <si>
    <t>名物</t>
    <rPh sb="0" eb="2">
      <t>メイブツ</t>
    </rPh>
    <phoneticPr fontId="7"/>
  </si>
  <si>
    <t>知性派</t>
    <rPh sb="0" eb="2">
      <t>チセイ</t>
    </rPh>
    <rPh sb="2" eb="3">
      <t>ハ</t>
    </rPh>
    <phoneticPr fontId="7"/>
  </si>
  <si>
    <t>伝承</t>
    <rPh sb="0" eb="2">
      <t>デンショウ</t>
    </rPh>
    <phoneticPr fontId="7"/>
  </si>
  <si>
    <t>れーすくいーんおつきさまにいったうさぎ</t>
    <phoneticPr fontId="7"/>
  </si>
  <si>
    <t>おんみょうじおつきさまにいったうさぎ</t>
    <phoneticPr fontId="7"/>
  </si>
  <si>
    <t>おずのまほうつかいおつきさまにいったうさぎ</t>
    <phoneticPr fontId="7"/>
  </si>
  <si>
    <t>魔法の国の月うさぎ</t>
    <phoneticPr fontId="7"/>
  </si>
  <si>
    <t>タイプ伝承・武人・姫の攻55％UP</t>
    <phoneticPr fontId="7"/>
  </si>
  <si>
    <t>転生したウサ耳の陰陽師</t>
    <phoneticPr fontId="7"/>
  </si>
  <si>
    <t>タイプ神秘・知性派・飲食の攻55％UP</t>
    <phoneticPr fontId="7"/>
  </si>
  <si>
    <t>転生したサーキットの兎</t>
    <phoneticPr fontId="7"/>
  </si>
  <si>
    <t>タイプ偉人・妖怪・名物の攻55％UP</t>
    <phoneticPr fontId="7"/>
  </si>
  <si>
    <t>偉人</t>
    <rPh sb="0" eb="2">
      <t>イジン</t>
    </rPh>
    <phoneticPr fontId="7"/>
  </si>
  <si>
    <t>飲食</t>
    <rPh sb="0" eb="2">
      <t>インショク</t>
    </rPh>
    <phoneticPr fontId="7"/>
  </si>
  <si>
    <t>はろうぃんおののこまち</t>
    <phoneticPr fontId="7"/>
  </si>
  <si>
    <t>赤き血の収穫歌</t>
    <phoneticPr fontId="7"/>
  </si>
  <si>
    <t>タイプ名物・妖怪・姫の攻50％UP　/　タイプ【偉人】の攻25％UP</t>
    <phoneticPr fontId="7"/>
  </si>
  <si>
    <t>あかずきんおののこまち</t>
    <phoneticPr fontId="7"/>
  </si>
  <si>
    <t>赤頭巾小町の策略</t>
    <phoneticPr fontId="7"/>
  </si>
  <si>
    <t>タイプ姫・武人・名物の攻50％UP　/　タイプ【伝承】の攻25％UP</t>
    <phoneticPr fontId="7"/>
  </si>
  <si>
    <t>にほんしゅからくちおののこまち</t>
    <phoneticPr fontId="7"/>
  </si>
  <si>
    <t>あきた小町の純米酒</t>
    <phoneticPr fontId="7"/>
  </si>
  <si>
    <t>タイプ神秘・知性派・偉人の攻50％UP　/　タイプ【飲食】の攻25％UP</t>
    <phoneticPr fontId="7"/>
  </si>
  <si>
    <t>神秘</t>
    <rPh sb="0" eb="2">
      <t>シンピ</t>
    </rPh>
    <phoneticPr fontId="7"/>
  </si>
  <si>
    <t>近畿</t>
    <rPh sb="0" eb="2">
      <t>キンキ</t>
    </rPh>
    <phoneticPr fontId="7"/>
  </si>
  <si>
    <t>よんしゅうねんにおのひめ</t>
    <phoneticPr fontId="7"/>
  </si>
  <si>
    <t>大蛇と白鷺の遭遇</t>
    <phoneticPr fontId="7"/>
  </si>
  <si>
    <t>タイプ姫・武人・知性派の防50％UP　/　タイプ【伝承】の防25％UP</t>
    <phoneticPr fontId="7"/>
  </si>
  <si>
    <t>じゃんぬだるくにおのひめ</t>
    <phoneticPr fontId="7"/>
  </si>
  <si>
    <t>魔物も倒す龍神の聖女</t>
    <phoneticPr fontId="7"/>
  </si>
  <si>
    <t>タイプ名物・妖怪・姫の防50％UP　/　タイプ【偉人】の防25％UP</t>
    <phoneticPr fontId="7"/>
  </si>
  <si>
    <t>しちせいけんにおのひめ</t>
    <phoneticPr fontId="7"/>
  </si>
  <si>
    <t>鳰の願いと七星剣</t>
    <phoneticPr fontId="7"/>
  </si>
  <si>
    <t>タイプ飲食・知性派・妖怪の防50％UP　/　タイプ【神秘】の防25％UP</t>
    <phoneticPr fontId="7"/>
  </si>
  <si>
    <t>はるまいせんとういん</t>
    <phoneticPr fontId="7"/>
  </si>
  <si>
    <t>桜舞う美麗なる賢母</t>
    <phoneticPr fontId="7"/>
  </si>
  <si>
    <t>タイプ伝承・武人・姫の防25％UP　/　タイプ名物・知性派・飲食・神秘の攻30％DOWN</t>
    <phoneticPr fontId="7"/>
  </si>
  <si>
    <t>るるこしんぷせんとういん</t>
    <phoneticPr fontId="7"/>
  </si>
  <si>
    <t>幸運導く母なる精霊</t>
    <phoneticPr fontId="7"/>
  </si>
  <si>
    <t>タイプ神秘・知性派・飲食の防25％UP　/　タイプ偉人・妖怪・伝承・名物の攻30％DOWN</t>
    <phoneticPr fontId="7"/>
  </si>
  <si>
    <t>たんちょうづるせんとういん</t>
    <phoneticPr fontId="7"/>
  </si>
  <si>
    <t>雪原に佇む吉祥の鳥</t>
    <phoneticPr fontId="7"/>
  </si>
  <si>
    <t>タイプ偉人・妖怪・名物の防25％UP　/　タイプ武人・姫・伝承・神秘の攻30％DOWN</t>
    <phoneticPr fontId="7"/>
  </si>
  <si>
    <t>武人</t>
    <rPh sb="0" eb="2">
      <t>ブジン</t>
    </rPh>
    <phoneticPr fontId="7"/>
  </si>
  <si>
    <t>おんみょうどうあべのせいめい</t>
    <phoneticPr fontId="7"/>
  </si>
  <si>
    <t>不世出の陰陽師</t>
    <phoneticPr fontId="7"/>
  </si>
  <si>
    <t>タイプ名物・妖怪・飲食の防50％UP　/　タイプ【偉人】の防25％UP</t>
    <phoneticPr fontId="7"/>
  </si>
  <si>
    <t>たこやきあべのせいめい</t>
    <phoneticPr fontId="7"/>
  </si>
  <si>
    <t>ふうまけんあべのせいめい</t>
    <phoneticPr fontId="7"/>
  </si>
  <si>
    <t>戦場に舞う式神</t>
    <phoneticPr fontId="7"/>
  </si>
  <si>
    <t>タイプ姫・伝承・妖怪の防50％UP　/　タイプ【武人】の防25％UP</t>
    <phoneticPr fontId="7"/>
  </si>
  <si>
    <t>ソースに浮かぶ五芒星</t>
    <phoneticPr fontId="7"/>
  </si>
  <si>
    <t>タイプ神秘・知性派・姫の防50％UP　/　タイプ【飲食】の防25％UP</t>
    <phoneticPr fontId="7"/>
  </si>
  <si>
    <t>中部</t>
    <rPh sb="0" eb="2">
      <t>チュウブ</t>
    </rPh>
    <phoneticPr fontId="7"/>
  </si>
  <si>
    <t>中国・四国</t>
    <rPh sb="0" eb="2">
      <t>チュウゴク</t>
    </rPh>
    <rPh sb="3" eb="5">
      <t>シコク</t>
    </rPh>
    <phoneticPr fontId="7"/>
  </si>
  <si>
    <t>おはなみさなだゆきむら</t>
    <phoneticPr fontId="7"/>
  </si>
  <si>
    <t>桜に誓う真田の不惜身命</t>
    <phoneticPr fontId="7"/>
  </si>
  <si>
    <t>タイプ姫・伝承の攻40％UP　/　タイプ【武人】の攻25％UP</t>
    <phoneticPr fontId="7"/>
  </si>
  <si>
    <t>しんげんもちさなだゆきむら</t>
    <phoneticPr fontId="7"/>
  </si>
  <si>
    <t>甲斐の虎を魅了した甘味</t>
    <phoneticPr fontId="7"/>
  </si>
  <si>
    <t>タイプ神秘・知性派の攻40％UP　/　タイプ【飲食】の攻25％UP</t>
    <phoneticPr fontId="7"/>
  </si>
  <si>
    <t>じんろうさなだゆきむら</t>
    <phoneticPr fontId="7"/>
  </si>
  <si>
    <t>満月に照らされた赤備え</t>
    <phoneticPr fontId="7"/>
  </si>
  <si>
    <t>タイプ偉人・名物の攻40％UP　/　タイプ【妖怪】の攻25％UP</t>
    <phoneticPr fontId="7"/>
  </si>
  <si>
    <t>偉人</t>
    <rPh sb="0" eb="2">
      <t>イジン</t>
    </rPh>
    <phoneticPr fontId="7"/>
  </si>
  <si>
    <t>おんせんぱにっくごうひめ</t>
    <phoneticPr fontId="7"/>
  </si>
  <si>
    <t>紅葉舞う療養の地</t>
    <phoneticPr fontId="7"/>
  </si>
  <si>
    <t>タイプ伝承・武人・偉人の防50％UP　/　タイプ【姫】の防25％UP</t>
    <phoneticPr fontId="7"/>
  </si>
  <si>
    <t>きういふるーつごうひめ</t>
    <phoneticPr fontId="7"/>
  </si>
  <si>
    <t>美の道はキウイから</t>
    <phoneticPr fontId="7"/>
  </si>
  <si>
    <t>ないちんげーるごうひめ</t>
    <phoneticPr fontId="7"/>
  </si>
  <si>
    <t>慈悲と救済の看護師</t>
    <phoneticPr fontId="7"/>
  </si>
  <si>
    <t>タイプ姫・武人・名物の防40％UP　/　タイプ【伝承】の防20％UP</t>
    <phoneticPr fontId="7"/>
  </si>
  <si>
    <t>仁義八行の数珠</t>
    <phoneticPr fontId="7"/>
  </si>
  <si>
    <t>れいぎょくでんせつふせひめ</t>
    <phoneticPr fontId="7"/>
  </si>
  <si>
    <t>むらさめまるふせひめ</t>
    <phoneticPr fontId="7"/>
  </si>
  <si>
    <t>伏と月夜と村雨丸</t>
    <phoneticPr fontId="7"/>
  </si>
  <si>
    <t>タイプ飲食・知性派・妖怪の防40％UP　/　タイプ【神秘】の防20％UP</t>
    <phoneticPr fontId="7"/>
  </si>
  <si>
    <t>おるれあんえいゆうたんふせひめ</t>
    <phoneticPr fontId="7"/>
  </si>
  <si>
    <t>オルレアン八剣伝説</t>
    <phoneticPr fontId="7"/>
  </si>
  <si>
    <t>タイプ名物・妖怪・姫の防40％UP　/　タイプ【偉人】の防20％UP</t>
    <phoneticPr fontId="7"/>
  </si>
  <si>
    <t>ぽっぷくりすますいこまきつの</t>
    <phoneticPr fontId="7"/>
  </si>
  <si>
    <t>聖夜に贈る南蛮品</t>
    <phoneticPr fontId="7"/>
  </si>
  <si>
    <t>タイプ伝承・武人・偉人の攻60％UP　/　タイプ【姫】の攻30％UP</t>
    <phoneticPr fontId="7"/>
  </si>
  <si>
    <t>まねきねこいこまきつの</t>
    <phoneticPr fontId="7"/>
  </si>
  <si>
    <t>寵愛も招く吉兆の姫</t>
    <phoneticPr fontId="7"/>
  </si>
  <si>
    <t>タイプ偉人・妖怪・知性派の攻60％UP　/　タイプ【名物】の攻30％UP</t>
    <phoneticPr fontId="7"/>
  </si>
  <si>
    <t>みづはのめいこまきつの</t>
    <phoneticPr fontId="7"/>
  </si>
  <si>
    <t>密かな恋の神得</t>
    <phoneticPr fontId="7"/>
  </si>
  <si>
    <t>タイプ飲食・知性派・妖怪の攻60％UP　/　タイプ【神秘】の攻30％UP</t>
    <phoneticPr fontId="7"/>
  </si>
  <si>
    <t>知性派</t>
    <rPh sb="0" eb="2">
      <t>チセイ</t>
    </rPh>
    <rPh sb="2" eb="3">
      <t>ハ</t>
    </rPh>
    <phoneticPr fontId="7"/>
  </si>
  <si>
    <t>けものみずぎくろゆりでんせつ</t>
    <phoneticPr fontId="7"/>
  </si>
  <si>
    <t>百合狐の誘惑</t>
    <phoneticPr fontId="7"/>
  </si>
  <si>
    <t>タイプ姫・武人・知性派の攻50％UP　/　タイプ【伝承】の攻25％UP</t>
    <phoneticPr fontId="7"/>
  </si>
  <si>
    <t>ないちんげーるくろゆりでんせつ</t>
    <phoneticPr fontId="7"/>
  </si>
  <si>
    <t>ランプに浮かぶ黒い影</t>
    <phoneticPr fontId="7"/>
  </si>
  <si>
    <t>タイプ名物・妖怪・飲食の攻50％UP　/　タイプ【偉人】の攻25％UP</t>
    <phoneticPr fontId="7"/>
  </si>
  <si>
    <t>くのいちくろゆりでんせつ</t>
    <phoneticPr fontId="7"/>
  </si>
  <si>
    <t>破滅の黒百合</t>
    <phoneticPr fontId="7"/>
  </si>
  <si>
    <t>タイプ神秘・飲食・名物の攻50％UP　/　タイプ【知性派】の攻25％UP</t>
    <phoneticPr fontId="7"/>
  </si>
  <si>
    <t>ややこおどりいずものおくに</t>
    <phoneticPr fontId="7"/>
  </si>
  <si>
    <t>阿国の常識破り</t>
    <phoneticPr fontId="7"/>
  </si>
  <si>
    <t>タイプ神秘・飲食・妖怪の攻40％UP　/　タイプ【知性派】の攻20％UP</t>
    <phoneticPr fontId="7"/>
  </si>
  <si>
    <t>あやかしいずものおくに</t>
    <phoneticPr fontId="7"/>
  </si>
  <si>
    <t>幽霊船の舞姫</t>
    <phoneticPr fontId="7"/>
  </si>
  <si>
    <t>タイプ偉人・名物・伝承の攻40％UP　/　タイプ【妖怪】の攻20％UP</t>
    <phoneticPr fontId="7"/>
  </si>
  <si>
    <t>ありすいずものおくに</t>
    <phoneticPr fontId="7"/>
  </si>
  <si>
    <t>不思議の国は傾き過ぎ</t>
    <phoneticPr fontId="7"/>
  </si>
  <si>
    <t>タイプ姫・武人・知性派の攻40％UP　/　タイプ【伝承】の攻20％UP</t>
    <phoneticPr fontId="7"/>
  </si>
  <si>
    <t>武人</t>
    <rPh sb="0" eb="2">
      <t>ブジン</t>
    </rPh>
    <phoneticPr fontId="7"/>
  </si>
  <si>
    <t>名物</t>
    <rPh sb="0" eb="2">
      <t>メイブツ</t>
    </rPh>
    <phoneticPr fontId="7"/>
  </si>
  <si>
    <t>飲食</t>
    <rPh sb="0" eb="2">
      <t>インショク</t>
    </rPh>
    <phoneticPr fontId="7"/>
  </si>
  <si>
    <t>なつまつりとくがわいえやす</t>
    <phoneticPr fontId="7"/>
  </si>
  <si>
    <t>祭り頭の将軍</t>
    <phoneticPr fontId="7"/>
  </si>
  <si>
    <t>タイプ姫・伝承・妖怪の攻50％UP　/　タイプ【武人】の攻25％UP</t>
    <phoneticPr fontId="7"/>
  </si>
  <si>
    <t>にっこうとうしょうぐうとくがわいえやす</t>
    <phoneticPr fontId="7"/>
  </si>
  <si>
    <t>東照大権現の降臨</t>
    <phoneticPr fontId="7"/>
  </si>
  <si>
    <t>タイプ偉人・妖怪・伝承の攻50％UP　/　タイプ【名物】の攻25％UP</t>
    <phoneticPr fontId="7"/>
  </si>
  <si>
    <t>らむしゅとくがわいえやす</t>
    <phoneticPr fontId="7"/>
  </si>
  <si>
    <t>家康の琥珀酒</t>
    <phoneticPr fontId="7"/>
  </si>
  <si>
    <t>しんぼうきさくくろだかんべえ</t>
    <phoneticPr fontId="7"/>
  </si>
  <si>
    <t>福岡から轟く知将</t>
    <phoneticPr fontId="7"/>
  </si>
  <si>
    <t>タイプ神秘・飲食・名物の攻40％UP　/　タイプ【知性派】の攻20％UP</t>
    <phoneticPr fontId="7"/>
  </si>
  <si>
    <t>へしきりはせべくろだかんべえ</t>
    <phoneticPr fontId="7"/>
  </si>
  <si>
    <t>圧切御刀の大切先</t>
    <phoneticPr fontId="7"/>
  </si>
  <si>
    <t>タイプ姫・伝承・神秘の攻40％UP　/　タイプ【武人】の攻20％UP</t>
    <phoneticPr fontId="7"/>
  </si>
  <si>
    <t>ぎおんやまがさくろだかんべえ</t>
    <phoneticPr fontId="7"/>
  </si>
  <si>
    <t>勝利を導く舁き山</t>
    <phoneticPr fontId="7"/>
  </si>
  <si>
    <t>タイプ偉人・妖怪・伝承の攻40％UP　/　タイプ【名物】の攻20％UP</t>
    <phoneticPr fontId="7"/>
  </si>
  <si>
    <t>全国</t>
    <rPh sb="0" eb="2">
      <t>ゼンコク</t>
    </rPh>
    <phoneticPr fontId="7"/>
  </si>
  <si>
    <t>天下統一への道</t>
    <phoneticPr fontId="7"/>
  </si>
  <si>
    <t>よんしゅうねんてんくろおーるすたーずかんしゃ</t>
    <phoneticPr fontId="7"/>
  </si>
  <si>
    <t>偉人</t>
    <rPh sb="0" eb="2">
      <t>イジン</t>
    </rPh>
    <phoneticPr fontId="7"/>
  </si>
  <si>
    <t>伝承</t>
    <rPh sb="0" eb="2">
      <t>デンショウ</t>
    </rPh>
    <phoneticPr fontId="7"/>
  </si>
  <si>
    <t>知性派</t>
    <rPh sb="0" eb="2">
      <t>チセイ</t>
    </rPh>
    <rPh sb="2" eb="3">
      <t>ハ</t>
    </rPh>
    <phoneticPr fontId="7"/>
  </si>
  <si>
    <t>姫</t>
    <rPh sb="0" eb="1">
      <t>ヒメ</t>
    </rPh>
    <phoneticPr fontId="7"/>
  </si>
  <si>
    <t>タイプ神秘・飲食・名物の攻60％UP　/　タイプ【知性派】の攻30％UP</t>
    <phoneticPr fontId="7"/>
  </si>
  <si>
    <t>悪を挫く信念の豆</t>
    <phoneticPr fontId="7"/>
  </si>
  <si>
    <t>神秘</t>
    <rPh sb="0" eb="2">
      <t>シンピ</t>
    </rPh>
    <phoneticPr fontId="7"/>
  </si>
  <si>
    <t>妖怪</t>
    <rPh sb="0" eb="2">
      <t>ヨウカイ</t>
    </rPh>
    <phoneticPr fontId="7"/>
  </si>
  <si>
    <t>せんごくうみびらきやなぎはらびゃくれん</t>
    <phoneticPr fontId="7"/>
  </si>
  <si>
    <t>海に思う腹心の友</t>
    <phoneticPr fontId="7"/>
  </si>
  <si>
    <t>タイプ神秘・飲食・伝承の防50％UP　/　タイプ【知性派】の防25％UP</t>
    <phoneticPr fontId="7"/>
  </si>
  <si>
    <t>せんごくひめやなぎはらびゃくれん</t>
    <phoneticPr fontId="7"/>
  </si>
  <si>
    <t>白蓮姫の短歌</t>
    <phoneticPr fontId="7"/>
  </si>
  <si>
    <t>ばけねこやなぎはらびゃくれん</t>
    <phoneticPr fontId="7"/>
  </si>
  <si>
    <t>筆は玩具になりにけり</t>
    <phoneticPr fontId="7"/>
  </si>
  <si>
    <t>タイプ名物・偉人・武人の防50％UP　/　タイプ【妖怪】の防25％UP</t>
    <phoneticPr fontId="7"/>
  </si>
  <si>
    <t>みなづきこんあかいてるこ</t>
    <phoneticPr fontId="7"/>
  </si>
  <si>
    <t>天晴れな最強花嫁</t>
    <phoneticPr fontId="7"/>
  </si>
  <si>
    <t>タイプ姫・伝承の防40％UP　/　タイプ【武人】の防25％UP</t>
    <phoneticPr fontId="7"/>
  </si>
  <si>
    <t>みずさわうどんあかいてるこ</t>
    <phoneticPr fontId="7"/>
  </si>
  <si>
    <t>コシこそが強さの秘密</t>
    <phoneticPr fontId="7"/>
  </si>
  <si>
    <t>タイプ偉人・妖怪の防40％UP　/　タイプ【名物】の防25％UP</t>
    <phoneticPr fontId="7"/>
  </si>
  <si>
    <t>すかじゃんあかいてるこ</t>
    <phoneticPr fontId="7"/>
  </si>
  <si>
    <t>絢爛豪華な烈女の彩り</t>
    <phoneticPr fontId="7"/>
  </si>
  <si>
    <t>タイプ神秘・飲食の防40％UP　/　タイプ【知性派】の防25％UP</t>
    <phoneticPr fontId="7"/>
  </si>
  <si>
    <t>どくがんりゅうだてまさむね</t>
    <phoneticPr fontId="7"/>
  </si>
  <si>
    <t>戦に吼える独眼竜</t>
    <phoneticPr fontId="7"/>
  </si>
  <si>
    <t>タイプ姫・伝承・神秘の防40％UP　/　タイプ【武人】の防20％UP</t>
    <phoneticPr fontId="7"/>
  </si>
  <si>
    <t>かくめいだてまさむね</t>
    <phoneticPr fontId="7"/>
  </si>
  <si>
    <t>独眼竜に不可能はない</t>
    <phoneticPr fontId="7"/>
  </si>
  <si>
    <t>しゅせんだてまさむね</t>
    <phoneticPr fontId="7"/>
  </si>
  <si>
    <t>酔竜の失敗談</t>
    <phoneticPr fontId="7"/>
  </si>
  <si>
    <t>タイプ神秘・知性派・偉人の防40％UP　/　タイプ【飲食】の防20％UP</t>
    <phoneticPr fontId="7"/>
  </si>
  <si>
    <t>はろうぃんふじしろごぜん</t>
    <phoneticPr fontId="7"/>
  </si>
  <si>
    <t>妖艶な悪魔の祟り</t>
    <phoneticPr fontId="7"/>
  </si>
  <si>
    <t>タイプ【武人】の防100％UP　/　タイプ姫・伝承の防30％UP</t>
    <phoneticPr fontId="7"/>
  </si>
  <si>
    <t>さふぁいあふじしろごぜん</t>
    <phoneticPr fontId="7"/>
  </si>
  <si>
    <t>青き衣のカリスマ女主人</t>
    <phoneticPr fontId="7"/>
  </si>
  <si>
    <t>タイプ【神秘】の防100％UP　/　タイプ知性派・飲食の防30％UP</t>
    <phoneticPr fontId="7"/>
  </si>
  <si>
    <t>ろっかせんふじしろごぜん</t>
    <phoneticPr fontId="7"/>
  </si>
  <si>
    <t>魔性なる美貌と歌の才</t>
    <phoneticPr fontId="7"/>
  </si>
  <si>
    <t>タイプ【妖怪】の防100％UP　/　タイプ偉人・名物の防30％UP</t>
    <phoneticPr fontId="7"/>
  </si>
  <si>
    <t>せつぶんぱにっくひらつからいちょう</t>
    <phoneticPr fontId="7"/>
  </si>
  <si>
    <t>まりーあんとわねっとひらつからいちょう</t>
    <phoneticPr fontId="7"/>
  </si>
  <si>
    <t>自由奔放な淑女の休息</t>
    <phoneticPr fontId="7"/>
  </si>
  <si>
    <t>タイプ伝承・武人・飲食の攻60％UP　/　タイプ【姫】の攻30％UP</t>
    <phoneticPr fontId="7"/>
  </si>
  <si>
    <t>せいたいごうひらつからいちょう</t>
    <phoneticPr fontId="7"/>
  </si>
  <si>
    <t>残忍なまでの執念</t>
    <phoneticPr fontId="7"/>
  </si>
  <si>
    <t>タイプ名物・妖怪・姫の攻60％UP　/　タイプ【偉人】の攻30％UP</t>
    <phoneticPr fontId="7"/>
  </si>
  <si>
    <t>姫</t>
    <rPh sb="0" eb="1">
      <t>ヒメ</t>
    </rPh>
    <phoneticPr fontId="7"/>
  </si>
  <si>
    <t>妖怪</t>
    <rPh sb="0" eb="2">
      <t>ヨウカイ</t>
    </rPh>
    <phoneticPr fontId="7"/>
  </si>
  <si>
    <t>知性派</t>
    <rPh sb="0" eb="2">
      <t>チセイ</t>
    </rPh>
    <rPh sb="2" eb="3">
      <t>ハ</t>
    </rPh>
    <phoneticPr fontId="7"/>
  </si>
  <si>
    <t>ゆうしゃまりひめ</t>
    <phoneticPr fontId="7"/>
  </si>
  <si>
    <t>姫は勇者の道を歩む</t>
    <phoneticPr fontId="7"/>
  </si>
  <si>
    <t>タイプ伝承・武人・飲食の攻50％UP　/　タイプ【姫】の攻25％UP</t>
    <phoneticPr fontId="7"/>
  </si>
  <si>
    <t>ちょうちんおばけまりひめ</t>
    <phoneticPr fontId="7"/>
  </si>
  <si>
    <t>闇夜を照らす万里提灯</t>
    <phoneticPr fontId="7"/>
  </si>
  <si>
    <t>タイプ名物・偉人・神秘の攻50％UP　/　タイプ【妖怪】の攻25％UP</t>
    <phoneticPr fontId="7"/>
  </si>
  <si>
    <t>おんなきょうしまりひめ</t>
    <phoneticPr fontId="7"/>
  </si>
  <si>
    <t>教えて万里先生！</t>
    <phoneticPr fontId="7"/>
  </si>
  <si>
    <t>タイプ神秘・飲食・伝承の攻50％UP　/　タイプ【知性派】の攻25％UP</t>
    <phoneticPr fontId="7"/>
  </si>
  <si>
    <t>攻</t>
    <phoneticPr fontId="7"/>
  </si>
  <si>
    <t>防</t>
    <phoneticPr fontId="7"/>
  </si>
  <si>
    <t>だいこうかいじだいいちきしまひめ</t>
    <phoneticPr fontId="7"/>
  </si>
  <si>
    <t>いつくしまじんじゃいちきしまひめ</t>
    <phoneticPr fontId="7"/>
  </si>
  <si>
    <t>妖怪</t>
    <rPh sb="0" eb="2">
      <t>ヨウカイ</t>
    </rPh>
    <phoneticPr fontId="7"/>
  </si>
  <si>
    <t>神秘</t>
    <rPh sb="0" eb="2">
      <t>シンピ</t>
    </rPh>
    <phoneticPr fontId="7"/>
  </si>
  <si>
    <t>姫</t>
    <rPh sb="0" eb="1">
      <t>ヒメ</t>
    </rPh>
    <phoneticPr fontId="7"/>
  </si>
  <si>
    <t>うみびらきいぬがみぎょうぶ</t>
    <phoneticPr fontId="7"/>
  </si>
  <si>
    <t>くれおぱとらいぬがみぎょうぶ</t>
    <phoneticPr fontId="7"/>
  </si>
  <si>
    <t>タイプ偉人・名物の防40％UP　/　タイプ【妖怪】の防25％UP</t>
    <rPh sb="9" eb="10">
      <t>ボウ</t>
    </rPh>
    <rPh sb="26" eb="27">
      <t>ボウ</t>
    </rPh>
    <phoneticPr fontId="7"/>
  </si>
  <si>
    <t>タイプ知性派・飲食の防40％UP　/　タイプ【神秘】の防25％UP</t>
    <rPh sb="3" eb="5">
      <t>チセイ</t>
    </rPh>
    <rPh sb="5" eb="6">
      <t>ハ</t>
    </rPh>
    <rPh sb="7" eb="9">
      <t>インショク</t>
    </rPh>
    <rPh sb="10" eb="11">
      <t>ボウ</t>
    </rPh>
    <rPh sb="23" eb="25">
      <t>シンピ</t>
    </rPh>
    <rPh sb="27" eb="28">
      <t>ボウ</t>
    </rPh>
    <phoneticPr fontId="7"/>
  </si>
  <si>
    <t>タイプ武人・伝承の防40％UP　/　タイプ【姫】の防25％UP</t>
    <rPh sb="3" eb="5">
      <t>ブジン</t>
    </rPh>
    <rPh sb="6" eb="8">
      <t>デンショウ</t>
    </rPh>
    <rPh sb="9" eb="10">
      <t>ボウ</t>
    </rPh>
    <rPh sb="22" eb="23">
      <t>ヒメ</t>
    </rPh>
    <rPh sb="25" eb="26">
      <t>ボウ</t>
    </rPh>
    <phoneticPr fontId="7"/>
  </si>
  <si>
    <t>伝承</t>
    <rPh sb="0" eb="2">
      <t>デンショウ</t>
    </rPh>
    <phoneticPr fontId="7"/>
  </si>
  <si>
    <t>偉人</t>
    <rPh sb="0" eb="2">
      <t>イジン</t>
    </rPh>
    <phoneticPr fontId="7"/>
  </si>
  <si>
    <t>飲食</t>
    <rPh sb="0" eb="2">
      <t>インショク</t>
    </rPh>
    <phoneticPr fontId="7"/>
  </si>
  <si>
    <t>鬼も脅かす書の腕前</t>
    <phoneticPr fontId="7"/>
  </si>
  <si>
    <t>日本一の英雄と霊峰</t>
    <phoneticPr fontId="7"/>
  </si>
  <si>
    <t>思い出す旅の味</t>
    <phoneticPr fontId="7"/>
  </si>
  <si>
    <t>きびだんごももたろう</t>
    <phoneticPr fontId="7"/>
  </si>
  <si>
    <t>ゆかたとくがわよしのぶ</t>
    <phoneticPr fontId="7"/>
  </si>
  <si>
    <t>知性派</t>
    <rPh sb="0" eb="2">
      <t>チセイ</t>
    </rPh>
    <rPh sb="2" eb="3">
      <t>ハ</t>
    </rPh>
    <phoneticPr fontId="7"/>
  </si>
  <si>
    <t>水ヨーヨーは勝利の証</t>
    <phoneticPr fontId="7"/>
  </si>
  <si>
    <t>タイプ妖怪・名物の防65％UP　/　タイプ【偉人】の防35％UP</t>
    <phoneticPr fontId="7"/>
  </si>
  <si>
    <t>いがりゅうとくがわよしのぶ</t>
    <phoneticPr fontId="7"/>
  </si>
  <si>
    <t>文武両道の忍将軍</t>
    <phoneticPr fontId="7"/>
  </si>
  <si>
    <t>タイプ神秘・飲食の防65％UP　/　タイプ【知性派】の防35％UP</t>
    <phoneticPr fontId="7"/>
  </si>
  <si>
    <t>どうじきりとくがわよしのぶ</t>
    <phoneticPr fontId="7"/>
  </si>
  <si>
    <t>鬼も狐も制す天下の将軍</t>
    <phoneticPr fontId="7"/>
  </si>
  <si>
    <t>タイプ武人・姫の防65％UP　/　タイプ【伝承】の防35％UP</t>
    <phoneticPr fontId="7"/>
  </si>
  <si>
    <t>武人</t>
    <rPh sb="0" eb="2">
      <t>ブジン</t>
    </rPh>
    <phoneticPr fontId="7"/>
  </si>
  <si>
    <t>神秘</t>
    <rPh sb="0" eb="2">
      <t>シンピ</t>
    </rPh>
    <phoneticPr fontId="7"/>
  </si>
  <si>
    <t>名物</t>
    <rPh sb="0" eb="2">
      <t>メイブツ</t>
    </rPh>
    <phoneticPr fontId="7"/>
  </si>
  <si>
    <t>はろうぃんかぐや</t>
    <phoneticPr fontId="7"/>
  </si>
  <si>
    <t>包帯に隠された月姫</t>
    <phoneticPr fontId="7"/>
  </si>
  <si>
    <t>タイプ伝承・武人・姫の攻35％UP　/　タイプ妖怪・名物・偉人・知性派の防20％DOWN</t>
    <phoneticPr fontId="7"/>
  </si>
  <si>
    <t>どくたーかぐや</t>
    <phoneticPr fontId="7"/>
  </si>
  <si>
    <t>月世界の美人女医</t>
    <phoneticPr fontId="7"/>
  </si>
  <si>
    <t>タイプ偉人・妖怪・名物の攻35％UP　/　タイプ神秘・飲食・知性派・姫の防20％DOWN</t>
    <phoneticPr fontId="7"/>
  </si>
  <si>
    <t>しちせいけんかぐや</t>
    <phoneticPr fontId="7"/>
  </si>
  <si>
    <t>輝夜に刻む北斗七星</t>
    <phoneticPr fontId="7"/>
  </si>
  <si>
    <t>タイプ神秘・知性派・飲食の攻35％UP　/　タイプ姫・伝承・武人・偉人の防20％DOWN</t>
    <phoneticPr fontId="7"/>
  </si>
  <si>
    <t>魔王の戦歴</t>
    <phoneticPr fontId="7"/>
  </si>
  <si>
    <t>せんしょうおだのぶなが</t>
    <phoneticPr fontId="7"/>
  </si>
  <si>
    <t>タイプ伝承・姫・偉人の防40％UP　/　タイプ【武人】の防20％UP</t>
    <phoneticPr fontId="7"/>
  </si>
  <si>
    <t>こうきょうきょくだいきゅうばんおだのぶなが</t>
    <phoneticPr fontId="7"/>
  </si>
  <si>
    <t>楽聖が愛した敦盛</t>
    <phoneticPr fontId="7"/>
  </si>
  <si>
    <t>タイプ名物・妖怪・飲食の防40％UP　/　タイプ【偉人】の防20％UP</t>
    <phoneticPr fontId="7"/>
  </si>
  <si>
    <t>えびふらいおだのぶなが</t>
    <phoneticPr fontId="7"/>
  </si>
  <si>
    <t>海老は鯱の地位を狙う</t>
    <phoneticPr fontId="7"/>
  </si>
  <si>
    <t>タイプ知性派・神秘・武人の防40％UP　/　タイプ【飲食】の防20％UP</t>
    <phoneticPr fontId="7"/>
  </si>
  <si>
    <t>おにきりしゅうみやもとむさし</t>
    <phoneticPr fontId="7"/>
  </si>
  <si>
    <t>武人</t>
    <rPh sb="0" eb="2">
      <t>ブジン</t>
    </rPh>
    <phoneticPr fontId="7"/>
  </si>
  <si>
    <t>神秘</t>
    <rPh sb="0" eb="2">
      <t>シンピ</t>
    </rPh>
    <phoneticPr fontId="7"/>
  </si>
  <si>
    <t>妖怪</t>
    <rPh sb="0" eb="2">
      <t>ヨウカイ</t>
    </rPh>
    <phoneticPr fontId="7"/>
  </si>
  <si>
    <t>百戦錬磨の武者修行</t>
    <phoneticPr fontId="7"/>
  </si>
  <si>
    <t>すさのおのみことみやもとむさし</t>
    <phoneticPr fontId="7"/>
  </si>
  <si>
    <t>伝説となった荒ぶる剣豪</t>
    <phoneticPr fontId="7"/>
  </si>
  <si>
    <t>タイプ知性派・飲食の攻40％UP　/　タイプ【神秘】の攻25％UP</t>
    <phoneticPr fontId="7"/>
  </si>
  <si>
    <t>きじんみやもとむさし</t>
    <phoneticPr fontId="7"/>
  </si>
  <si>
    <t>天下無敵の荒ぶる神霊</t>
    <phoneticPr fontId="7"/>
  </si>
  <si>
    <t>きゅうびたまものまえ</t>
    <phoneticPr fontId="7"/>
  </si>
  <si>
    <t>傾国の美女玉藻</t>
    <phoneticPr fontId="7"/>
  </si>
  <si>
    <t>姫が贈るは玉藻箱</t>
    <phoneticPr fontId="7"/>
  </si>
  <si>
    <t>タイプ武人・姫・名物の攻50％UP　/　タイプ【伝承】の攻25％UP</t>
    <rPh sb="3" eb="5">
      <t>ブジン</t>
    </rPh>
    <rPh sb="6" eb="7">
      <t>ヒメ</t>
    </rPh>
    <rPh sb="8" eb="10">
      <t>メイブツ</t>
    </rPh>
    <rPh sb="11" eb="12">
      <t>コウ</t>
    </rPh>
    <rPh sb="24" eb="26">
      <t>デンショウ</t>
    </rPh>
    <rPh sb="28" eb="29">
      <t>コウ</t>
    </rPh>
    <phoneticPr fontId="7"/>
  </si>
  <si>
    <t>ようせいたまものまえ</t>
    <phoneticPr fontId="7"/>
  </si>
  <si>
    <t>ネバーランドの妖狐</t>
    <phoneticPr fontId="7"/>
  </si>
  <si>
    <t>タイプ飲食・知性派・武人の攻50％UP　/　タイプ【神秘】の攻25％UP</t>
    <phoneticPr fontId="7"/>
  </si>
  <si>
    <t>りゅうぐうたまものまえ</t>
    <phoneticPr fontId="7"/>
  </si>
  <si>
    <t>妖怪</t>
    <rPh sb="0" eb="2">
      <t>ヨウカイ</t>
    </rPh>
    <phoneticPr fontId="7"/>
  </si>
  <si>
    <t>伝承</t>
    <rPh sb="0" eb="2">
      <t>デンショウ</t>
    </rPh>
    <phoneticPr fontId="7"/>
  </si>
  <si>
    <t>神秘</t>
    <rPh sb="0" eb="2">
      <t>シンピ</t>
    </rPh>
    <phoneticPr fontId="7"/>
  </si>
  <si>
    <t>姫</t>
    <rPh sb="0" eb="1">
      <t>ヒメ</t>
    </rPh>
    <phoneticPr fontId="7"/>
  </si>
  <si>
    <t>名物</t>
    <rPh sb="0" eb="2">
      <t>メイブツ</t>
    </rPh>
    <phoneticPr fontId="7"/>
  </si>
  <si>
    <t>せいじゅうまかみ</t>
    <phoneticPr fontId="7"/>
  </si>
  <si>
    <t>神と狼が出会う時</t>
    <phoneticPr fontId="7"/>
  </si>
  <si>
    <t>タイプ飲食・知性派・武人の攻40％UP　/　タイプ【神秘】の攻20％UP</t>
    <phoneticPr fontId="7"/>
  </si>
  <si>
    <t>えんきまかみ</t>
    <phoneticPr fontId="7"/>
  </si>
  <si>
    <t>悪に牙剥く姫裁き</t>
    <phoneticPr fontId="7"/>
  </si>
  <si>
    <t>タイプ伝承・武人・偉人の攻40％UP　/　タイプ【姫】の攻20％UP</t>
    <rPh sb="3" eb="5">
      <t>デンショウ</t>
    </rPh>
    <rPh sb="6" eb="8">
      <t>ブジン</t>
    </rPh>
    <rPh sb="9" eb="11">
      <t>イジン</t>
    </rPh>
    <rPh sb="12" eb="13">
      <t>コウ</t>
    </rPh>
    <rPh sb="25" eb="26">
      <t>ヒメ</t>
    </rPh>
    <rPh sb="28" eb="29">
      <t>コウ</t>
    </rPh>
    <phoneticPr fontId="7"/>
  </si>
  <si>
    <t>ごじゅうのとうまかみ</t>
    <phoneticPr fontId="7"/>
  </si>
  <si>
    <t>狼の守護する古都</t>
    <phoneticPr fontId="7"/>
  </si>
  <si>
    <t>タイプ偉人・妖怪・知性派の攻40％UP　/　タイプ【名物】の攻20％UP</t>
    <phoneticPr fontId="7"/>
  </si>
  <si>
    <t>タイプ神秘・知性派の攻50％UP　/　タイプ【飲食】の攻40％UP</t>
    <phoneticPr fontId="7"/>
  </si>
  <si>
    <t>タイプ偉人・名物の攻50％UP　/　タイプ【妖怪】の攻40％UP</t>
    <phoneticPr fontId="7"/>
  </si>
  <si>
    <t>タイプ武人・姫の攻50％UP　/　タイプ【伝承】の攻40％UP</t>
    <phoneticPr fontId="7"/>
  </si>
  <si>
    <t>はなみずぎみむらつる</t>
    <phoneticPr fontId="7"/>
  </si>
  <si>
    <t>鶴を彩る大輪花</t>
    <phoneticPr fontId="7"/>
  </si>
  <si>
    <t>タイプ姫・伝承・神秘の防50％UP　/　タイプ【武人】の防25％UP</t>
    <phoneticPr fontId="7"/>
  </si>
  <si>
    <t>しんけんみむらつる</t>
    <phoneticPr fontId="7"/>
  </si>
  <si>
    <t>父より賜いし家宝刀</t>
    <phoneticPr fontId="7"/>
  </si>
  <si>
    <t>タイプ飲食・知性派・武人の防50％UP　/　タイプ【神秘】の防25％UP</t>
    <phoneticPr fontId="7"/>
  </si>
  <si>
    <t>くまのふでみむらつる</t>
    <phoneticPr fontId="7"/>
  </si>
  <si>
    <t>熊野で願う天下統一</t>
    <phoneticPr fontId="7"/>
  </si>
  <si>
    <t>タイプ偉人・妖怪・伝承の防50％UP　/　タイプ【名物】の防25％UP</t>
    <phoneticPr fontId="7"/>
  </si>
  <si>
    <t>しゃぼんだまひぐちいちよう</t>
    <phoneticPr fontId="7"/>
  </si>
  <si>
    <t>あめのはなよめひぐちいちよう</t>
    <phoneticPr fontId="7"/>
  </si>
  <si>
    <t>色褪せぬ紫陽花の一葉</t>
    <rPh sb="0" eb="2">
      <t>イロア</t>
    </rPh>
    <rPh sb="4" eb="7">
      <t>アジサイ</t>
    </rPh>
    <rPh sb="8" eb="10">
      <t>イチヨウ</t>
    </rPh>
    <phoneticPr fontId="7"/>
  </si>
  <si>
    <t>永遠に残る儚き秀作</t>
    <rPh sb="0" eb="2">
      <t>エイエン</t>
    </rPh>
    <rPh sb="3" eb="4">
      <t>ノコ</t>
    </rPh>
    <rPh sb="5" eb="6">
      <t>ハカナ</t>
    </rPh>
    <rPh sb="7" eb="9">
      <t>シュウサク</t>
    </rPh>
    <phoneticPr fontId="7"/>
  </si>
  <si>
    <t>タイプ武人・姫の攻65％UP　/　タイプ【伝承】の攻35％UP</t>
    <rPh sb="3" eb="5">
      <t>ブジン</t>
    </rPh>
    <rPh sb="6" eb="7">
      <t>ヒメ</t>
    </rPh>
    <rPh sb="8" eb="9">
      <t>コウ</t>
    </rPh>
    <rPh sb="21" eb="23">
      <t>デンショウ</t>
    </rPh>
    <phoneticPr fontId="7"/>
  </si>
  <si>
    <t>タイプ妖怪・名物の攻65％UP　/　タイプ【偉人】の攻35％UP</t>
    <rPh sb="3" eb="5">
      <t>ヨウカイ</t>
    </rPh>
    <rPh sb="6" eb="8">
      <t>メイブツ</t>
    </rPh>
    <rPh sb="9" eb="10">
      <t>コウ</t>
    </rPh>
    <phoneticPr fontId="7"/>
  </si>
  <si>
    <t>あがさくりすてぃひぐちいちよう</t>
    <phoneticPr fontId="7"/>
  </si>
  <si>
    <t>謎操るミステリーの女王</t>
    <rPh sb="0" eb="1">
      <t>ナゾ</t>
    </rPh>
    <rPh sb="1" eb="2">
      <t>アヤツ</t>
    </rPh>
    <rPh sb="9" eb="11">
      <t>ジョウオウ</t>
    </rPh>
    <phoneticPr fontId="7"/>
  </si>
  <si>
    <t>タイプ神秘・飲食の攻65％UP　/　タイプ【知性派】の攻35％UP</t>
    <rPh sb="3" eb="5">
      <t>シンピ</t>
    </rPh>
    <rPh sb="6" eb="8">
      <t>インショク</t>
    </rPh>
    <rPh sb="9" eb="10">
      <t>コウ</t>
    </rPh>
    <rPh sb="22" eb="24">
      <t>チセイ</t>
    </rPh>
    <rPh sb="24" eb="25">
      <t>ハ</t>
    </rPh>
    <phoneticPr fontId="7"/>
  </si>
  <si>
    <t>姫</t>
    <rPh sb="0" eb="1">
      <t>ヒメ</t>
    </rPh>
    <phoneticPr fontId="7"/>
  </si>
  <si>
    <t>飲食</t>
    <rPh sb="0" eb="2">
      <t>インショク</t>
    </rPh>
    <phoneticPr fontId="7"/>
  </si>
  <si>
    <t>妖怪</t>
    <rPh sb="0" eb="2">
      <t>ヨウカイ</t>
    </rPh>
    <phoneticPr fontId="7"/>
  </si>
  <si>
    <t>れいひいいなおとら</t>
    <phoneticPr fontId="7"/>
  </si>
  <si>
    <t>虎姫の徳川大繁栄計画</t>
    <phoneticPr fontId="7"/>
  </si>
  <si>
    <t>タイプ伝承・武人・飲食の防40％UP　/　タイプ【姫】の防20％UP</t>
    <phoneticPr fontId="7"/>
  </si>
  <si>
    <t>うなぎぞなえいいなおとら</t>
    <phoneticPr fontId="7"/>
  </si>
  <si>
    <t>奥義！水切り鰻構え</t>
    <phoneticPr fontId="7"/>
  </si>
  <si>
    <t>きゅうびいいなおとら</t>
    <phoneticPr fontId="7"/>
  </si>
  <si>
    <t>虎狐無双の国づくり</t>
    <phoneticPr fontId="7"/>
  </si>
  <si>
    <t>タイプ名物・偉人・武人の防40％UP　/　タイプ【妖怪】の防20％UP</t>
    <phoneticPr fontId="7"/>
  </si>
  <si>
    <t>ふがくさんじゅうろっけい ももたろう</t>
    <phoneticPr fontId="7"/>
  </si>
  <si>
    <t>タイプ偉人・妖怪・名物の攻35％UP　/　タイプ神秘・飮食・知性派・姫の防20％DOWN</t>
    <phoneticPr fontId="7"/>
  </si>
  <si>
    <t>タイプ神秘・知性派・飲食の攻35％UP　/　タイプ偉人・姫・武人・伝承の防20％DOWN</t>
    <phoneticPr fontId="7"/>
  </si>
  <si>
    <t>水を得た最強の神通力</t>
    <rPh sb="0" eb="1">
      <t>ミズ</t>
    </rPh>
    <rPh sb="2" eb="3">
      <t>エ</t>
    </rPh>
    <rPh sb="4" eb="6">
      <t>サイキョウ</t>
    </rPh>
    <rPh sb="7" eb="10">
      <t>ジンツウリキ</t>
    </rPh>
    <phoneticPr fontId="7"/>
  </si>
  <si>
    <t>しこくしのおおかみいぬがみぎょうぶ</t>
    <phoneticPr fontId="7"/>
  </si>
  <si>
    <t>歴史変える妖艶な魔性</t>
    <phoneticPr fontId="7"/>
  </si>
  <si>
    <t>愛らしい化け狸神の願望</t>
    <phoneticPr fontId="7"/>
  </si>
  <si>
    <t>名物</t>
    <rPh sb="0" eb="2">
      <t>メイブツ</t>
    </rPh>
    <phoneticPr fontId="7"/>
  </si>
  <si>
    <t>武人</t>
    <rPh sb="0" eb="2">
      <t>ブジン</t>
    </rPh>
    <phoneticPr fontId="7"/>
  </si>
  <si>
    <t>こいのぼりりゅうぐうじん</t>
    <phoneticPr fontId="7"/>
  </si>
  <si>
    <t>天昇る伝説の登竜門</t>
    <phoneticPr fontId="7"/>
  </si>
  <si>
    <t>タイプ神秘・知性派・飲食の防35％UP　/　タイプ妖怪・名物・偉人・姫・武人・伝承の攻15％DOWN</t>
    <phoneticPr fontId="7"/>
  </si>
  <si>
    <t>べっぷおんせんりゅうぐうじん</t>
    <phoneticPr fontId="7"/>
  </si>
  <si>
    <t>神癒す伝説の温泉地</t>
    <phoneticPr fontId="7"/>
  </si>
  <si>
    <t>タイプ偉人・妖怪・名物の防35％UP　/　タイプ知性派・飲食・神秘・武人・姫・伝承の攻15％DOWN</t>
    <phoneticPr fontId="7"/>
  </si>
  <si>
    <t>みかづきやりりゅうぐうじん</t>
    <phoneticPr fontId="7"/>
  </si>
  <si>
    <t>鎮魂の槍さばき</t>
    <phoneticPr fontId="7"/>
  </si>
  <si>
    <t>タイプ伝承・武人・姫の防35％UP　/　タイプ知性派・飲食・神秘・妖怪・名物・偉人の攻15％DOWN</t>
    <phoneticPr fontId="7"/>
  </si>
  <si>
    <t>げいしゅんあまくさしろう</t>
    <phoneticPr fontId="7"/>
  </si>
  <si>
    <t>厄払いという奇跡</t>
    <phoneticPr fontId="7"/>
  </si>
  <si>
    <t>タイプ名物・妖怪・姫の防60％UP　/　タイプ【偉人】の防30％UP</t>
    <phoneticPr fontId="7"/>
  </si>
  <si>
    <t>ぼたんへいけたんあまくさしろう</t>
    <phoneticPr fontId="7"/>
  </si>
  <si>
    <t>慈悲を重んじる真の心</t>
    <phoneticPr fontId="7"/>
  </si>
  <si>
    <t>タイプ姫・武人・知性派の防60％UP　/　タイプ【伝承】の防30％UP</t>
    <phoneticPr fontId="7"/>
  </si>
  <si>
    <t>むぎしょうちゅうあまくさしろう</t>
    <phoneticPr fontId="7"/>
  </si>
  <si>
    <t>奇跡を起こす芳醇な香り</t>
    <phoneticPr fontId="7"/>
  </si>
  <si>
    <t>タイプ神秘・知性派・偉人の防60％UP　/　タイプ【飲食】の防30％UP</t>
    <phoneticPr fontId="7"/>
  </si>
  <si>
    <t>妖怪</t>
    <rPh sb="0" eb="2">
      <t>ヨウカイ</t>
    </rPh>
    <phoneticPr fontId="7"/>
  </si>
  <si>
    <t>ゆけむりともえごぜん</t>
    <phoneticPr fontId="7"/>
  </si>
  <si>
    <t>紅く染まる一騎当千女武将</t>
    <phoneticPr fontId="7"/>
  </si>
  <si>
    <t>タイプ伝承・武人・姫の防55％UP　/　タイプ偉人・妖怪・名物の攻15％DOWN</t>
    <phoneticPr fontId="7"/>
  </si>
  <si>
    <t>ようこともえごぜん</t>
    <phoneticPr fontId="7"/>
  </si>
  <si>
    <t>一途な愛の狐火</t>
    <phoneticPr fontId="7"/>
  </si>
  <si>
    <t>タイプ偉人・妖怪・名物の防55％UP　/　タイプ神秘・知性派・飲食の攻15％DOWN</t>
    <phoneticPr fontId="7"/>
  </si>
  <si>
    <t>ぼじょれーぬーぼーともえごぜん</t>
    <phoneticPr fontId="7"/>
  </si>
  <si>
    <t>愛とワインに染まる美貌</t>
    <phoneticPr fontId="7"/>
  </si>
  <si>
    <t>タイプ神秘・知性派・飲食の防55％UP　/　タイプ伝承・武人・姫の攻15％DOWN</t>
    <phoneticPr fontId="7"/>
  </si>
  <si>
    <t>武人</t>
    <rPh sb="0" eb="2">
      <t>ブジン</t>
    </rPh>
    <phoneticPr fontId="7"/>
  </si>
  <si>
    <t>偉人</t>
    <rPh sb="0" eb="2">
      <t>イジン</t>
    </rPh>
    <phoneticPr fontId="7"/>
  </si>
  <si>
    <t>なつゆうえんちこしひかりちゃん</t>
    <phoneticPr fontId="7"/>
  </si>
  <si>
    <t>光り輝くライスシャワー</t>
    <phoneticPr fontId="7"/>
  </si>
  <si>
    <t>タイプ神秘・知性派・飲食の攻55％UP　/　タイプ偉人・妖怪・名物の防15％DOWN</t>
    <phoneticPr fontId="7"/>
  </si>
  <si>
    <t>しゃほうはっせつこしひかりちゃん</t>
    <phoneticPr fontId="7"/>
  </si>
  <si>
    <t>届け！美味しいお米</t>
    <phoneticPr fontId="7"/>
  </si>
  <si>
    <t>タイプ伝承・武人・姫の攻55％UP　/　タイプ神秘・知性派・飲食の防15％DOWN</t>
    <phoneticPr fontId="7"/>
  </si>
  <si>
    <t>あるびだこしひかりちゃん</t>
    <phoneticPr fontId="7"/>
  </si>
  <si>
    <t>光輝く国の女海賊</t>
    <phoneticPr fontId="7"/>
  </si>
  <si>
    <t>タイプ偉人・妖怪・名物の攻55％UP　/　タイプ伝承・武人・姫の防15％DOWN</t>
    <phoneticPr fontId="7"/>
  </si>
  <si>
    <t>聖夜に贈る妖術師</t>
    <phoneticPr fontId="7"/>
  </si>
  <si>
    <t>タイプ伝承・武人・姫の攻35％UP　/　タイプ知性派・飲食・神秘・妖怪・名物・偉人の防15％DOWN</t>
    <phoneticPr fontId="7"/>
  </si>
  <si>
    <t>くりすますだいさくせんたきやしゃひめ</t>
    <phoneticPr fontId="7"/>
  </si>
  <si>
    <t>はこねおんせんたきやしゃひめ</t>
    <phoneticPr fontId="7"/>
  </si>
  <si>
    <t>荒魂癒す幻想の湯</t>
    <phoneticPr fontId="7"/>
  </si>
  <si>
    <t>タイプ偉人・妖怪・名物の攻35％UP　/　タイプ知性派・飲食・神秘・武人・姫・伝承の防15％DOWN</t>
    <phoneticPr fontId="7"/>
  </si>
  <si>
    <t>かいとうえっくすたきやしゃひめ</t>
    <phoneticPr fontId="7"/>
  </si>
  <si>
    <t>神出鬼没の妖姫</t>
    <phoneticPr fontId="7"/>
  </si>
  <si>
    <t>タイプ神秘・知性派・飲食の攻35％UP　/　タイプ妖怪・名物・偉人・姫・武人・伝承の防15％DOWN</t>
    <phoneticPr fontId="7"/>
  </si>
  <si>
    <t>せつぶんゆきおんな</t>
    <phoneticPr fontId="7"/>
  </si>
  <si>
    <t>雪降る夜に現れた鬼</t>
    <phoneticPr fontId="7"/>
  </si>
  <si>
    <t>タイプ偉人・名物の防50％UP　/　タイプ【妖怪】の防40％UP</t>
    <phoneticPr fontId="7"/>
  </si>
  <si>
    <t>飲食</t>
    <phoneticPr fontId="7"/>
  </si>
  <si>
    <t>えほうまきゆきおんな</t>
    <phoneticPr fontId="7"/>
  </si>
  <si>
    <t>真摯に向かう恵方の雪</t>
    <phoneticPr fontId="7"/>
  </si>
  <si>
    <t>タイプ神秘・知性派の防50％UP　/　タイプ【飲食】の防40％UP</t>
    <phoneticPr fontId="7"/>
  </si>
  <si>
    <t>武人</t>
    <phoneticPr fontId="7"/>
  </si>
  <si>
    <t>びゃっこたいゆきおんな</t>
    <phoneticPr fontId="7"/>
  </si>
  <si>
    <t>凍りつかせる銃の腕前</t>
    <phoneticPr fontId="7"/>
  </si>
  <si>
    <t>タイプ姫・伝承の防50％UP　/　タイプ【武人】の防40％UP</t>
    <phoneticPr fontId="7"/>
  </si>
  <si>
    <t>知性派</t>
    <rPh sb="0" eb="2">
      <t>チセイ</t>
    </rPh>
    <rPh sb="2" eb="3">
      <t>ハ</t>
    </rPh>
    <phoneticPr fontId="7"/>
  </si>
  <si>
    <t>姫</t>
    <rPh sb="0" eb="1">
      <t>ヒメ</t>
    </rPh>
    <phoneticPr fontId="7"/>
  </si>
  <si>
    <t>名物</t>
    <rPh sb="0" eb="2">
      <t>メイブツ</t>
    </rPh>
    <phoneticPr fontId="7"/>
  </si>
  <si>
    <t>げいしゅんこいのみこと</t>
    <phoneticPr fontId="7"/>
  </si>
  <si>
    <t>恋の計は元旦にあり</t>
    <phoneticPr fontId="7"/>
  </si>
  <si>
    <t>タイプ伝承・武人・姫の防60％UP</t>
    <phoneticPr fontId="7"/>
  </si>
  <si>
    <t>きゅーぴっとこいのみこと</t>
    <phoneticPr fontId="7"/>
  </si>
  <si>
    <t>良縁結ぶ恋の矢</t>
    <phoneticPr fontId="7"/>
  </si>
  <si>
    <t>タイプ神秘・知性派・飲食の防60％UP</t>
    <phoneticPr fontId="7"/>
  </si>
  <si>
    <t>タイプ偉人・妖怪・名物の防60％UP</t>
    <phoneticPr fontId="7"/>
  </si>
  <si>
    <t>祝福捧ぐ永遠の愛</t>
    <phoneticPr fontId="7"/>
  </si>
  <si>
    <t>しゅうどうじょこいのみこと</t>
    <phoneticPr fontId="7"/>
  </si>
  <si>
    <t>ほんめいちょこてんにょひめ</t>
    <phoneticPr fontId="7"/>
  </si>
  <si>
    <t>甘々な天女の本命</t>
    <phoneticPr fontId="7"/>
  </si>
  <si>
    <t>タイプ神秘・知性派の攻45％UP　/　タイプ妖怪・名物の防110％DOWN</t>
    <phoneticPr fontId="7"/>
  </si>
  <si>
    <t>おにひめてんにょひめ</t>
    <phoneticPr fontId="7"/>
  </si>
  <si>
    <t>病払う天女の願い</t>
    <phoneticPr fontId="7"/>
  </si>
  <si>
    <t>タイプ武人・伝承の攻45％UP　/　タイプ神秘・飲食の防110％DOWN</t>
    <phoneticPr fontId="7"/>
  </si>
  <si>
    <t>ねこむすめてんにょひめ</t>
    <phoneticPr fontId="7"/>
  </si>
  <si>
    <t>あざとカワイイ愛され猫姫</t>
    <phoneticPr fontId="7"/>
  </si>
  <si>
    <t>タイプ偉人・名物の攻45％UP　/　タイプ武人・伝承の防110％DOWN</t>
    <phoneticPr fontId="7"/>
  </si>
  <si>
    <t>ひなまつりきょうごくまりあ</t>
    <phoneticPr fontId="7"/>
  </si>
  <si>
    <t>聖なる桃節句映え</t>
    <phoneticPr fontId="7"/>
  </si>
  <si>
    <t>ほわいとでーきょうごくまりあ</t>
    <phoneticPr fontId="7"/>
  </si>
  <si>
    <t>神に誓う愛の告白</t>
    <phoneticPr fontId="7"/>
  </si>
  <si>
    <t>タイプ武人・伝承の防40％UP　/　タイプ【姫】の防25％UP</t>
    <phoneticPr fontId="7"/>
  </si>
  <si>
    <t>はくいのてんしきょうごくまりあ</t>
    <phoneticPr fontId="7"/>
  </si>
  <si>
    <t>天使となったマリア様</t>
    <phoneticPr fontId="7"/>
  </si>
  <si>
    <t>おはなみぐらんぴんぐとみぬしひめ</t>
    <phoneticPr fontId="7"/>
  </si>
  <si>
    <t>別世界へ誘う幽玄の音色</t>
    <phoneticPr fontId="7"/>
  </si>
  <si>
    <t>タイプ【飲食】の攻130％UP　/　タイプ神秘・知性派の攻20％UP</t>
    <phoneticPr fontId="7"/>
  </si>
  <si>
    <t>じょりゅうしじんとみぬしひめ</t>
    <phoneticPr fontId="7"/>
  </si>
  <si>
    <t>鳴り響く平和奏でる詩</t>
    <phoneticPr fontId="7"/>
  </si>
  <si>
    <t>タイプ【名物】の攻130％UP　/　タイプ偉人・妖怪の攻20％UP</t>
    <phoneticPr fontId="7"/>
  </si>
  <si>
    <t>はまぐりひめとみぬしひめ</t>
    <phoneticPr fontId="7"/>
  </si>
  <si>
    <t>貝がもたらした財宝神</t>
    <phoneticPr fontId="7"/>
  </si>
  <si>
    <t>タイプ【武人】の攻130％UP　/　タイプ姫・伝承の攻20％UP</t>
    <phoneticPr fontId="7"/>
  </si>
  <si>
    <t>しんりょくのきせつあまてらす</t>
    <phoneticPr fontId="7"/>
  </si>
  <si>
    <t>天照らす新緑の癒し</t>
    <phoneticPr fontId="7"/>
  </si>
  <si>
    <t>タイプ神秘・知性派・飲食の防55％UP　/　タイプ偉人・妖怪・名物の攻15％DOWN</t>
    <phoneticPr fontId="7"/>
  </si>
  <si>
    <t>ぽりすれでぃあまてらす</t>
    <phoneticPr fontId="7"/>
  </si>
  <si>
    <t>平和照らす正義の太陽</t>
    <phoneticPr fontId="7"/>
  </si>
  <si>
    <t>タイプ伝承・武人・姫の防55％UP　/　タイプ神秘・知性派・飲食の攻15％DOWN</t>
    <phoneticPr fontId="7"/>
  </si>
  <si>
    <t>ばんぱいああまてらす</t>
    <phoneticPr fontId="7"/>
  </si>
  <si>
    <t>闇夜に隠れた天照の至福</t>
    <phoneticPr fontId="7"/>
  </si>
  <si>
    <t>タイプ偉人・妖怪・名物の防55％UP　/　タイプ伝承・武人・姫の攻15％DOWN</t>
    <phoneticPr fontId="7"/>
  </si>
  <si>
    <t>美貌誇る海洋神</t>
    <phoneticPr fontId="7"/>
  </si>
  <si>
    <t>タイプ神秘・知性派・飲食の攻25％UP　/　タイプ武人・伝承の防85％DOWN</t>
    <phoneticPr fontId="7"/>
  </si>
  <si>
    <t>でんしゃがーるこうていぺんぎんちゃん</t>
    <phoneticPr fontId="7"/>
  </si>
  <si>
    <t>華麗なるトラブル対応</t>
    <phoneticPr fontId="7"/>
  </si>
  <si>
    <t>タイプ偉人・妖怪・名物の攻60％UP</t>
    <phoneticPr fontId="7"/>
  </si>
  <si>
    <t>ほっかいどうぎゅうにゅうこうていぺんぎんちゃん</t>
    <phoneticPr fontId="7"/>
  </si>
  <si>
    <t>最高品質、皇帝のミルク</t>
    <phoneticPr fontId="7"/>
  </si>
  <si>
    <t>タイプ神秘・知性派・飲食の攻60％UP</t>
    <phoneticPr fontId="7"/>
  </si>
  <si>
    <t>かちかちやまこうていぺんぎんちゃん</t>
    <phoneticPr fontId="7"/>
  </si>
  <si>
    <t>皇帝の容赦ない仇討ち</t>
    <phoneticPr fontId="7"/>
  </si>
  <si>
    <t>タイプ伝承・武人・姫の攻60％UP</t>
    <phoneticPr fontId="7"/>
  </si>
  <si>
    <t>15
17
18
20
21
22
23
24</t>
    <phoneticPr fontId="7"/>
  </si>
  <si>
    <t>94236
106800
113082
125648
131930
138212
144494
150776</t>
    <phoneticPr fontId="7"/>
  </si>
  <si>
    <t>びきにがーるきし</t>
    <phoneticPr fontId="7"/>
  </si>
  <si>
    <t>ナイトプールは頭脳戦</t>
    <phoneticPr fontId="7"/>
  </si>
  <si>
    <t>タイプ伝承・武人・姫の攻30％UP　/　タイプ偉人・妖怪・名物の防80％DOWN</t>
    <phoneticPr fontId="7"/>
  </si>
  <si>
    <t>棋士描く一刀入魂</t>
    <phoneticPr fontId="7"/>
  </si>
  <si>
    <t>タイプ神秘・知性派・飲食の攻30％UP　/　タイプ伝承・武人・姫の防80％DOWN</t>
    <phoneticPr fontId="7"/>
  </si>
  <si>
    <t>うきよえしきし</t>
    <phoneticPr fontId="7"/>
  </si>
  <si>
    <t>ふくいんのしときし</t>
    <phoneticPr fontId="7"/>
  </si>
  <si>
    <t>強靭な魂の祈り</t>
    <phoneticPr fontId="7"/>
  </si>
  <si>
    <t>タイプ偉人・妖怪・名物の攻30％UP　/　タイプ神秘・知性派・飲食の防80％DOWN</t>
    <phoneticPr fontId="7"/>
  </si>
  <si>
    <t>もものせっくむらさきしきぶ</t>
    <phoneticPr fontId="7"/>
  </si>
  <si>
    <t>読み方</t>
    <rPh sb="0" eb="1">
      <t>ヨ</t>
    </rPh>
    <rPh sb="2" eb="3">
      <t>カタ</t>
    </rPh>
    <phoneticPr fontId="7"/>
  </si>
  <si>
    <t>ID</t>
    <phoneticPr fontId="7"/>
  </si>
  <si>
    <t>ゆかたまつりともかずき</t>
    <phoneticPr fontId="7"/>
  </si>
  <si>
    <t>海妖怪と金魚の真剣勝負</t>
    <phoneticPr fontId="7"/>
  </si>
  <si>
    <t>タイプ偉人・名物の防50％UP　/　タイプ【妖怪】の防45％UP</t>
    <phoneticPr fontId="7"/>
  </si>
  <si>
    <t>あいどるともかずき</t>
    <phoneticPr fontId="7"/>
  </si>
  <si>
    <t>海妖怪アイドルの神対応</t>
    <phoneticPr fontId="7"/>
  </si>
  <si>
    <t>あまぞねすともかずき</t>
    <phoneticPr fontId="7"/>
  </si>
  <si>
    <t>完全アウェイの海妖怪戦士</t>
    <phoneticPr fontId="7"/>
  </si>
  <si>
    <t>タイプ姫・伝承の防50％UP　/　タイプ【武人】の防45％UP</t>
    <phoneticPr fontId="7"/>
  </si>
  <si>
    <t>タイプ神秘・飲食の防50％UP　/　タイプ【知性派】の防45％UP</t>
    <phoneticPr fontId="7"/>
  </si>
  <si>
    <t>天女が誘う魅惑の芳香</t>
    <phoneticPr fontId="7"/>
  </si>
  <si>
    <t>かじゅえんあもろうなぐ</t>
    <phoneticPr fontId="7"/>
  </si>
  <si>
    <t>鬼を惑わす一寸天女</t>
    <phoneticPr fontId="7"/>
  </si>
  <si>
    <t>いっすんぼうしあもろうなぐ</t>
    <phoneticPr fontId="7"/>
  </si>
  <si>
    <t>無敵の天女総長、降臨</t>
    <phoneticPr fontId="7"/>
  </si>
  <si>
    <t>れでぃーすあもろうなぐ</t>
    <phoneticPr fontId="7"/>
  </si>
  <si>
    <t>リリース</t>
    <phoneticPr fontId="7"/>
  </si>
  <si>
    <t>たろっとふじわらのしょうし</t>
    <phoneticPr fontId="7"/>
  </si>
  <si>
    <t>崇高なる純潔の后</t>
    <phoneticPr fontId="7"/>
  </si>
  <si>
    <t>タイプ妖怪・名物の攻45％UP　/　タイプ【偉人】の攻20％UP</t>
    <phoneticPr fontId="7"/>
  </si>
  <si>
    <t>たぴおかどりんくふじわらのしょうし</t>
    <phoneticPr fontId="7"/>
  </si>
  <si>
    <t>タイプ神秘・知性派の攻45％UP　/　タイプ【飲食】の攻20％UP</t>
    <phoneticPr fontId="7"/>
  </si>
  <si>
    <t>女子トークのおともに</t>
    <phoneticPr fontId="7"/>
  </si>
  <si>
    <t>おやゆびひめふじわらのしょうし</t>
    <phoneticPr fontId="7"/>
  </si>
  <si>
    <t>タイプ武人・伝承の攻45％UP　/　タイプ【姫】の攻20％UP</t>
    <phoneticPr fontId="7"/>
  </si>
  <si>
    <t>花のように輝く藤壺姫</t>
    <phoneticPr fontId="7"/>
  </si>
  <si>
    <t>生涯捧げる女王の物語</t>
    <phoneticPr fontId="7"/>
  </si>
  <si>
    <t>えりざべすいっせいむらさきしきぶ</t>
    <phoneticPr fontId="7"/>
  </si>
  <si>
    <t>タイプ伝承・武人・姫の防40％UP　/　全タイプの攻20％DOWN</t>
    <phoneticPr fontId="7"/>
  </si>
  <si>
    <t>温泉目指し集結する八犬士</t>
    <phoneticPr fontId="7"/>
  </si>
  <si>
    <t>おんせんがいなんそうさとみはっけんでん</t>
    <phoneticPr fontId="7"/>
  </si>
  <si>
    <t>タイプ偉人・妖怪・名物の防40％UP　/　全タイプの攻20％DOWN</t>
    <phoneticPr fontId="7"/>
  </si>
  <si>
    <t>運命で結ばれた魅惑の歌声</t>
    <phoneticPr fontId="7"/>
  </si>
  <si>
    <t>せいれーんなんそうさとみはっけんでん</t>
    <phoneticPr fontId="7"/>
  </si>
  <si>
    <t>タイプ神秘・知性派・飲食の防40％UP　/　全タイプの攻20％DOWN</t>
    <phoneticPr fontId="7"/>
  </si>
  <si>
    <t>怪盗八犬士の嗅覚</t>
    <phoneticPr fontId="7"/>
  </si>
  <si>
    <t>タイプ伝承・武人・姫の攻65％UP</t>
    <phoneticPr fontId="7"/>
  </si>
  <si>
    <t>ゴットハンド作るお菓子の家</t>
    <phoneticPr fontId="7"/>
  </si>
  <si>
    <t>せいたんくろにくるくすもといね</t>
    <phoneticPr fontId="7"/>
  </si>
  <si>
    <t>タイプ神秘・知性派・飲食の攻65％UP</t>
    <phoneticPr fontId="7"/>
  </si>
  <si>
    <t>繁栄と生命の神秘</t>
    <phoneticPr fontId="7"/>
  </si>
  <si>
    <t>このはなさくやひめくすもといね</t>
    <phoneticPr fontId="7"/>
  </si>
  <si>
    <t>タイプ偉人・妖怪・名物の攻65％UP</t>
    <phoneticPr fontId="7"/>
  </si>
  <si>
    <t>運命の星に導かれた探究心</t>
    <phoneticPr fontId="7"/>
  </si>
  <si>
    <t>あすとろのまーくすもといね</t>
    <phoneticPr fontId="7"/>
  </si>
  <si>
    <t>きよみずのぶたいむらさきしきぶ</t>
    <phoneticPr fontId="7"/>
  </si>
  <si>
    <t>清水の美しき恋の舞台</t>
    <rPh sb="0" eb="2">
      <t>キヨミズ</t>
    </rPh>
    <rPh sb="3" eb="4">
      <t>ウツク</t>
    </rPh>
    <rPh sb="6" eb="7">
      <t>コイ</t>
    </rPh>
    <rPh sb="8" eb="10">
      <t>ブタイ</t>
    </rPh>
    <phoneticPr fontId="7"/>
  </si>
  <si>
    <t>タイプ【武人】の攻100%DOWN　/　タイプ姫・伝承・知性派の攻40%DOWN</t>
    <rPh sb="4" eb="6">
      <t>ブジン</t>
    </rPh>
    <rPh sb="8" eb="9">
      <t>コウ</t>
    </rPh>
    <rPh sb="23" eb="24">
      <t>ヒメ</t>
    </rPh>
    <rPh sb="25" eb="27">
      <t>デンショウ</t>
    </rPh>
    <rPh sb="28" eb="30">
      <t>チセイ</t>
    </rPh>
    <rPh sb="30" eb="31">
      <t>ハ</t>
    </rPh>
    <rPh sb="32" eb="33">
      <t>コウ</t>
    </rPh>
    <phoneticPr fontId="7"/>
  </si>
  <si>
    <t>タイプ【神秘】の攻100％DOWN　/　タイプ飲食・知性派・妖怪の攻40％DOWN</t>
    <phoneticPr fontId="7"/>
  </si>
  <si>
    <t>タイプ【妖怪】の攻100％DOWN　/　タイプ名物・偉人・武人の攻40％DOWN</t>
    <phoneticPr fontId="7"/>
  </si>
  <si>
    <t>タイプ偉人・名物の攻35％UP　/　タイプ神秘・知性派の防100％DOWN</t>
    <phoneticPr fontId="7"/>
  </si>
  <si>
    <t>タイプ神秘・知性派の攻35％UP　/　タイプ姫・伝承の防100％DOWN</t>
    <phoneticPr fontId="7"/>
  </si>
  <si>
    <t>タイプ姫・伝承の攻35％UP　/　タイプ偉人・名物の防100％DOWN</t>
    <phoneticPr fontId="7"/>
  </si>
  <si>
    <t>タイプ神秘・知性派・飲食の攻55％UP　/　タイプ偉人・妖怪・名物の防15％DOWN</t>
    <rPh sb="25" eb="27">
      <t>イジン</t>
    </rPh>
    <rPh sb="28" eb="30">
      <t>ヨウカイ</t>
    </rPh>
    <rPh sb="31" eb="33">
      <t>メイブツ</t>
    </rPh>
    <phoneticPr fontId="7"/>
  </si>
  <si>
    <t>タイプ偉人・妖怪・名物の攻55％UP　/　タイプ伝承・武人・姫の防15％DOWN</t>
    <rPh sb="24" eb="26">
      <t>デンショウ</t>
    </rPh>
    <rPh sb="27" eb="29">
      <t>ブジン</t>
    </rPh>
    <rPh sb="30" eb="31">
      <t>ヒメ</t>
    </rPh>
    <phoneticPr fontId="7"/>
  </si>
  <si>
    <t>みなもりのみこいちきしまひめ</t>
    <phoneticPr fontId="7"/>
  </si>
  <si>
    <t>タイプ神秘・知性派・飲食の防30％UP　/　タイプ偉人・妖怪・名物の攻80％DOWN</t>
    <phoneticPr fontId="7"/>
  </si>
  <si>
    <t>タイプ偉人・妖怪・名物の防30％UP　/　タイプ伝承・武人・姫の攻80％DOWN</t>
    <phoneticPr fontId="7"/>
  </si>
  <si>
    <t>タイプ伝承・武人・姫の防30％UP　/　タイプ神秘・知性派・飲食の攻80％DOWN</t>
    <phoneticPr fontId="7"/>
  </si>
  <si>
    <t>タイプ神秘・知性派・名物の攻30％UP　/　タイプ【飲食】の攻30％UP</t>
    <phoneticPr fontId="7"/>
  </si>
  <si>
    <t>タイプ飲食・武人・姫の攻30％UP　/　タイプ【伝承】の攻30％UP</t>
    <phoneticPr fontId="7"/>
  </si>
  <si>
    <t>タイプ偉人・妖怪・伝承の攻30％UP　/　タイプ【名物】の攻30％UP</t>
    <phoneticPr fontId="7"/>
  </si>
  <si>
    <t>15
17
21
22
23
24
25</t>
    <phoneticPr fontId="7"/>
  </si>
  <si>
    <t>94236
106800
131930
138212
144494
150776
157060</t>
    <phoneticPr fontId="7"/>
  </si>
  <si>
    <t>83712
94872
117196
122776
128358
133938
139520</t>
    <phoneticPr fontId="7"/>
  </si>
  <si>
    <t>おしょうがつにいじまやえ</t>
    <phoneticPr fontId="7"/>
  </si>
  <si>
    <t>しょうきんかせぎにいじまやえ</t>
    <phoneticPr fontId="7"/>
  </si>
  <si>
    <t>ぴくとまんさーにいじまやえ</t>
    <phoneticPr fontId="7"/>
  </si>
  <si>
    <t>巫女となった会津の巴御前</t>
    <rPh sb="0" eb="2">
      <t>ミコ</t>
    </rPh>
    <rPh sb="6" eb="8">
      <t>アイズ</t>
    </rPh>
    <rPh sb="9" eb="12">
      <t>トモエゴゼン</t>
    </rPh>
    <phoneticPr fontId="7"/>
  </si>
  <si>
    <t>幕末ジャンヌの賞金稼ぎ</t>
    <rPh sb="0" eb="2">
      <t>バクマツ</t>
    </rPh>
    <rPh sb="7" eb="9">
      <t>ショウキン</t>
    </rPh>
    <rPh sb="9" eb="10">
      <t>カセ</t>
    </rPh>
    <phoneticPr fontId="7"/>
  </si>
  <si>
    <t>会津の銃姫の特殊能力</t>
    <rPh sb="0" eb="2">
      <t>アイズ</t>
    </rPh>
    <rPh sb="3" eb="4">
      <t>ジュウ</t>
    </rPh>
    <rPh sb="4" eb="5">
      <t>ヒメ</t>
    </rPh>
    <rPh sb="6" eb="8">
      <t>トクシュ</t>
    </rPh>
    <rPh sb="8" eb="10">
      <t>ノウリョク</t>
    </rPh>
    <phoneticPr fontId="7"/>
  </si>
  <si>
    <t>タイプ伝承・武人・姫の防65％UP</t>
    <rPh sb="11" eb="12">
      <t>ボウ</t>
    </rPh>
    <phoneticPr fontId="7"/>
  </si>
  <si>
    <t>タイプ神秘・知性派・飲食の防65％UP</t>
    <rPh sb="13" eb="14">
      <t>ボウ</t>
    </rPh>
    <phoneticPr fontId="7"/>
  </si>
  <si>
    <t>タイプ偉人・妖怪・名物の防65％UP</t>
    <rPh sb="0" eb="18">
      <t>ボウ</t>
    </rPh>
    <phoneticPr fontId="7"/>
  </si>
  <si>
    <t>83712
94872
100454
111616
122776
117196
128358
133938</t>
    <phoneticPr fontId="7"/>
  </si>
  <si>
    <t>結界に降り立つ女神</t>
    <phoneticPr fontId="7"/>
  </si>
  <si>
    <t>霊妙なる水のせせらぎ</t>
    <phoneticPr fontId="7"/>
  </si>
  <si>
    <t>タイプ伝承・武人・姫の攻25％UP　/　タイプ偉人・妖怪の防85％DOWN</t>
    <phoneticPr fontId="7"/>
  </si>
  <si>
    <t>タイプ偉人・妖怪・名物の攻25％UP　/　タイプ神秘・知性派の防85％DOWN</t>
    <phoneticPr fontId="7"/>
  </si>
  <si>
    <t>恋する女の子の雛飾り</t>
    <phoneticPr fontId="7"/>
  </si>
  <si>
    <t>ちょこのひすけばん</t>
    <phoneticPr fontId="7"/>
  </si>
  <si>
    <t>タイプ武人・伝承の攻70％UP　/　タイプ【姫】の攻35％UP</t>
    <rPh sb="3" eb="5">
      <t>ブジン</t>
    </rPh>
    <rPh sb="6" eb="8">
      <t>デンショウ</t>
    </rPh>
    <rPh sb="9" eb="10">
      <t>コウ</t>
    </rPh>
    <rPh sb="22" eb="23">
      <t>ヒメ</t>
    </rPh>
    <rPh sb="25" eb="26">
      <t>コウ</t>
    </rPh>
    <phoneticPr fontId="7"/>
  </si>
  <si>
    <t>ほろ苦ツンデレ愛</t>
    <rPh sb="2" eb="3">
      <t>ク</t>
    </rPh>
    <rPh sb="7" eb="8">
      <t>アイ</t>
    </rPh>
    <phoneticPr fontId="7"/>
  </si>
  <si>
    <t>タイプ偉人・妖怪の攻70％UP　/　タイプ【名物】の攻35％UP</t>
    <phoneticPr fontId="7"/>
  </si>
  <si>
    <t>餅と世話焼く女番長</t>
    <rPh sb="0" eb="1">
      <t>モチ</t>
    </rPh>
    <rPh sb="2" eb="4">
      <t>セワ</t>
    </rPh>
    <rPh sb="4" eb="5">
      <t>ヤ</t>
    </rPh>
    <rPh sb="6" eb="7">
      <t>オンナ</t>
    </rPh>
    <rPh sb="7" eb="9">
      <t>バンチョウ</t>
    </rPh>
    <phoneticPr fontId="7"/>
  </si>
  <si>
    <t>かまくらすけばん</t>
    <phoneticPr fontId="7"/>
  </si>
  <si>
    <t>タイプ神秘・知性派の攻70％UP　/　タイプ【飲食】の攻35％UP</t>
    <phoneticPr fontId="7"/>
  </si>
  <si>
    <t>極めしファミレス女番長</t>
    <rPh sb="0" eb="1">
      <t>キワ</t>
    </rPh>
    <rPh sb="8" eb="9">
      <t>オンナ</t>
    </rPh>
    <rPh sb="9" eb="11">
      <t>バンチョウ</t>
    </rPh>
    <phoneticPr fontId="7"/>
  </si>
  <si>
    <t>ふぁみれすすけばん</t>
    <phoneticPr fontId="7"/>
  </si>
  <si>
    <t>入手</t>
    <rPh sb="0" eb="2">
      <t>ニュウシュ</t>
    </rPh>
    <phoneticPr fontId="7"/>
  </si>
  <si>
    <t>進化</t>
    <rPh sb="0" eb="2">
      <t>シンカ</t>
    </rPh>
    <phoneticPr fontId="7"/>
  </si>
  <si>
    <t>17,</t>
    <phoneticPr fontId="7"/>
  </si>
  <si>
    <t>19(↑進化前+3)+竜+17</t>
    <rPh sb="4" eb="6">
      <t>シンカ</t>
    </rPh>
    <rPh sb="6" eb="7">
      <t>マエ</t>
    </rPh>
    <rPh sb="11" eb="12">
      <t>リュウ</t>
    </rPh>
    <phoneticPr fontId="7"/>
  </si>
  <si>
    <t>18(↑進化前+3)+15+17</t>
    <rPh sb="4" eb="6">
      <t>シンカ</t>
    </rPh>
    <rPh sb="6" eb="7">
      <t>マエ</t>
    </rPh>
    <phoneticPr fontId="7"/>
  </si>
  <si>
    <t>15,</t>
    <phoneticPr fontId="7"/>
  </si>
  <si>
    <t>16,</t>
    <phoneticPr fontId="7"/>
  </si>
  <si>
    <t>17,17</t>
    <phoneticPr fontId="7"/>
  </si>
  <si>
    <t>14,</t>
    <phoneticPr fontId="7"/>
  </si>
  <si>
    <t>22+12+14</t>
    <phoneticPr fontId="7"/>
  </si>
  <si>
    <t>22,</t>
    <phoneticPr fontId="7"/>
  </si>
  <si>
    <t>19+15+17</t>
    <phoneticPr fontId="7"/>
  </si>
  <si>
    <t>13,</t>
    <phoneticPr fontId="7"/>
  </si>
  <si>
    <t>22+15+15</t>
    <phoneticPr fontId="7"/>
  </si>
  <si>
    <t>タイプ伝承・武人・姫の防65％UP</t>
    <phoneticPr fontId="7"/>
  </si>
  <si>
    <t>竜宮仕込みのチアリーダー</t>
    <rPh sb="0" eb="2">
      <t>リュウグウ</t>
    </rPh>
    <rPh sb="2" eb="4">
      <t>ジコ</t>
    </rPh>
    <phoneticPr fontId="7"/>
  </si>
  <si>
    <t>おうえんだんおとひめ</t>
    <phoneticPr fontId="7"/>
  </si>
  <si>
    <t>タイプ偉人・妖怪・名物の防65％UP</t>
    <phoneticPr fontId="7"/>
  </si>
  <si>
    <t>乙姫が弾く三味線の音色</t>
    <rPh sb="0" eb="2">
      <t>オトヒメ</t>
    </rPh>
    <rPh sb="3" eb="4">
      <t>ヒ</t>
    </rPh>
    <rPh sb="5" eb="8">
      <t>シャミセン</t>
    </rPh>
    <rPh sb="9" eb="11">
      <t>ネイロ</t>
    </rPh>
    <phoneticPr fontId="7"/>
  </si>
  <si>
    <t>ねこまたおとひめ</t>
    <phoneticPr fontId="7"/>
  </si>
  <si>
    <t>タイプ神秘・知性派・飲食の防65％UP</t>
    <phoneticPr fontId="7"/>
  </si>
  <si>
    <t>大蛇も手玉に取る竜宮姫</t>
    <phoneticPr fontId="7"/>
  </si>
  <si>
    <t>すさのおおとひめ</t>
    <phoneticPr fontId="7"/>
  </si>
  <si>
    <t>画像</t>
    <rPh sb="0" eb="2">
      <t>ガゾウ</t>
    </rPh>
    <phoneticPr fontId="7"/>
  </si>
  <si>
    <t>【4周年】天クロオールスターズ～感謝～</t>
  </si>
  <si>
    <t>【節分】雪女</t>
    <phoneticPr fontId="7"/>
  </si>
  <si>
    <t>【麗姫】井伊直虎</t>
    <phoneticPr fontId="7"/>
  </si>
  <si>
    <t>【鯉のぼり】竜宮神</t>
    <phoneticPr fontId="7"/>
  </si>
  <si>
    <t>【湯けむり】巴御前</t>
    <phoneticPr fontId="7"/>
  </si>
  <si>
    <t>スキル効果</t>
    <rPh sb="3" eb="5">
      <t>コウカ</t>
    </rPh>
    <phoneticPr fontId="7"/>
  </si>
  <si>
    <t>15
22
24
25
26
27
28</t>
    <phoneticPr fontId="7"/>
  </si>
  <si>
    <t>181624
266382
290598
302708
314816
326924
339032</t>
    <phoneticPr fontId="7"/>
  </si>
  <si>
    <t>164155
240760
262648
273591
284536
295479
306424</t>
    <phoneticPr fontId="7"/>
  </si>
  <si>
    <t>神秘</t>
    <phoneticPr fontId="7"/>
  </si>
  <si>
    <t>【花見】神功皇后</t>
    <phoneticPr fontId="7"/>
  </si>
  <si>
    <t>【武者修行】神功皇后</t>
    <phoneticPr fontId="7"/>
  </si>
  <si>
    <t>【バステト】神功皇后</t>
    <phoneticPr fontId="7"/>
  </si>
  <si>
    <t>はなみじんぐうこうごう</t>
    <phoneticPr fontId="7"/>
  </si>
  <si>
    <t>むしゃしゅぎょうじんぐうこうごう</t>
    <phoneticPr fontId="7"/>
  </si>
  <si>
    <t>ばすてとじんぐうこうごう</t>
    <phoneticPr fontId="7"/>
  </si>
  <si>
    <t>宴彩る酒豪の聖母</t>
    <rPh sb="0" eb="1">
      <t>ウタゲ</t>
    </rPh>
    <rPh sb="1" eb="2">
      <t>イロド</t>
    </rPh>
    <rPh sb="3" eb="5">
      <t>シュゴウ</t>
    </rPh>
    <rPh sb="6" eb="8">
      <t>セイボ</t>
    </rPh>
    <phoneticPr fontId="7"/>
  </si>
  <si>
    <t>タイプ偉人・妖怪・名物の攻70％UP</t>
    <phoneticPr fontId="7"/>
  </si>
  <si>
    <t>神聖なる極限の巫女</t>
    <rPh sb="0" eb="1">
      <t>カミ</t>
    </rPh>
    <rPh sb="1" eb="2">
      <t>セイ</t>
    </rPh>
    <rPh sb="4" eb="6">
      <t>キョクゲン</t>
    </rPh>
    <rPh sb="7" eb="9">
      <t>ミコ</t>
    </rPh>
    <phoneticPr fontId="7"/>
  </si>
  <si>
    <t>タイプ伝承・武人・姫の攻70％UP</t>
    <phoneticPr fontId="7"/>
  </si>
  <si>
    <t>見護るネコ女神</t>
    <phoneticPr fontId="7"/>
  </si>
  <si>
    <t>タイプ神秘・知性派・飲食の攻70％UP</t>
    <phoneticPr fontId="7"/>
  </si>
  <si>
    <t>【王宮】篤姫</t>
    <phoneticPr fontId="7"/>
  </si>
  <si>
    <t>15
22
23
24
25
26
27</t>
    <phoneticPr fontId="7"/>
  </si>
  <si>
    <t>185478
272036
284400
296766
309132
321496
333862</t>
    <phoneticPr fontId="7"/>
  </si>
  <si>
    <t>167643
245878
257053
268230
279407
290582
301759</t>
    <phoneticPr fontId="7"/>
  </si>
  <si>
    <t>【夏遊園地】コシヒカリちゃん</t>
    <phoneticPr fontId="7"/>
  </si>
  <si>
    <t>15
18
20
21
22
23
24
25
26
27</t>
    <phoneticPr fontId="7"/>
  </si>
  <si>
    <t>184216
221060
245622
257902
270184
282464
294746
307028
319308
331590</t>
    <phoneticPr fontId="7"/>
  </si>
  <si>
    <t>166491
199790
221990
233089
244188
255287
266388
277487
288586
299687</t>
    <phoneticPr fontId="7"/>
  </si>
  <si>
    <t>【射法八節】コシヒカリちゃん</t>
    <phoneticPr fontId="7"/>
  </si>
  <si>
    <t>【アルビダ】コシヒカリちゃん</t>
    <phoneticPr fontId="7"/>
  </si>
  <si>
    <t>【ハロウィン】カグヤ</t>
    <phoneticPr fontId="7"/>
  </si>
  <si>
    <t>【ドクター】カグヤ</t>
    <phoneticPr fontId="7"/>
  </si>
  <si>
    <t>【七星剣】カグヤ</t>
    <phoneticPr fontId="7"/>
  </si>
  <si>
    <t>【妖狐】巴御前</t>
    <phoneticPr fontId="7"/>
  </si>
  <si>
    <t>【ボジョレーヌーボー】巴御前</t>
    <phoneticPr fontId="7"/>
  </si>
  <si>
    <t>【Xmas大作戦】滝夜叉姫</t>
    <phoneticPr fontId="7"/>
  </si>
  <si>
    <t>【箱根温泉】滝夜叉姫</t>
    <phoneticPr fontId="7"/>
  </si>
  <si>
    <t>【迎春】コイノミコト</t>
    <phoneticPr fontId="7"/>
  </si>
  <si>
    <t>【キューピット】コイノミコト</t>
    <phoneticPr fontId="7"/>
  </si>
  <si>
    <t>【修道女】コイノミコト</t>
    <phoneticPr fontId="7"/>
  </si>
  <si>
    <t>【本命チョコ】天女姫</t>
    <phoneticPr fontId="7"/>
  </si>
  <si>
    <t>【鬼姫】天女姫</t>
    <phoneticPr fontId="7"/>
  </si>
  <si>
    <t>【猫娘】天女姫</t>
    <phoneticPr fontId="7"/>
  </si>
  <si>
    <t>【ひなまつり】京極マリア</t>
    <phoneticPr fontId="7"/>
  </si>
  <si>
    <t>【ホワイトデー】京極マリア</t>
    <phoneticPr fontId="7"/>
  </si>
  <si>
    <t>【白衣の天使】京極マリア</t>
    <phoneticPr fontId="7"/>
  </si>
  <si>
    <t>【お花見グランピング】富主姫</t>
    <phoneticPr fontId="7"/>
  </si>
  <si>
    <t>【女流詩人】富主姫</t>
    <phoneticPr fontId="7"/>
  </si>
  <si>
    <t>【はまぐり姫】富主姫</t>
    <phoneticPr fontId="7"/>
  </si>
  <si>
    <t>【新緑の季節】アマテラス</t>
    <phoneticPr fontId="7"/>
  </si>
  <si>
    <t>【ポリスレディ】アマテラス</t>
    <phoneticPr fontId="7"/>
  </si>
  <si>
    <t>【ヴァンパイア】アマテラス</t>
    <phoneticPr fontId="7"/>
  </si>
  <si>
    <t>【電車ガール】コウテイペンギンちゃん</t>
    <phoneticPr fontId="7"/>
  </si>
  <si>
    <t>【北海道牛乳】コウテイペンギンちゃん</t>
    <phoneticPr fontId="7"/>
  </si>
  <si>
    <t>【かちかち山】コウテイペンギンちゃん</t>
    <phoneticPr fontId="7"/>
  </si>
  <si>
    <t>【浮世絵師】棋士</t>
    <phoneticPr fontId="7"/>
  </si>
  <si>
    <t>【ビキニガール】棋士</t>
    <phoneticPr fontId="7"/>
  </si>
  <si>
    <t>【福音の使徒】棋士</t>
    <phoneticPr fontId="7"/>
  </si>
  <si>
    <t>【浴衣祭】トモカズキ</t>
    <phoneticPr fontId="7"/>
  </si>
  <si>
    <t>【アイドル】トモカズキ</t>
    <phoneticPr fontId="7"/>
  </si>
  <si>
    <t>【アマゾネス】トモカズキ</t>
    <phoneticPr fontId="7"/>
  </si>
  <si>
    <t>【果樹園】天降女子</t>
    <phoneticPr fontId="7"/>
  </si>
  <si>
    <t>【一寸法師】天降女子</t>
    <phoneticPr fontId="7"/>
  </si>
  <si>
    <t>【レディース】天降女子</t>
    <phoneticPr fontId="7"/>
  </si>
  <si>
    <t>【タロット】藤原彰子</t>
    <phoneticPr fontId="7"/>
  </si>
  <si>
    <t>【タピオカドリンク】藤原彰子</t>
    <phoneticPr fontId="7"/>
  </si>
  <si>
    <t>【親指姫】藤原彰子</t>
    <phoneticPr fontId="7"/>
  </si>
  <si>
    <t>【温泉街】南総里見八犬伝</t>
    <phoneticPr fontId="7"/>
  </si>
  <si>
    <t>【セイレーン】南総里見八犬伝</t>
    <phoneticPr fontId="7"/>
  </si>
  <si>
    <t>【怪盗】南総里見八犬伝</t>
    <phoneticPr fontId="7"/>
  </si>
  <si>
    <t>【聖誕クロニクル】楠本イネ</t>
    <phoneticPr fontId="7"/>
  </si>
  <si>
    <t>【コノハナサクヤヒメ】楠本イネ</t>
    <phoneticPr fontId="7"/>
  </si>
  <si>
    <t>【アストロノマー】楠本イネ</t>
    <phoneticPr fontId="7"/>
  </si>
  <si>
    <t>【お正月】新島八重</t>
    <phoneticPr fontId="7"/>
  </si>
  <si>
    <t>【賞金稼ぎ】新島八重</t>
    <phoneticPr fontId="7"/>
  </si>
  <si>
    <t>【ピクトマンサー】新島八重</t>
    <phoneticPr fontId="7"/>
  </si>
  <si>
    <t>【ちょこの日】スケバン</t>
    <phoneticPr fontId="7"/>
  </si>
  <si>
    <t>【かまくら】スケバン</t>
    <phoneticPr fontId="7"/>
  </si>
  <si>
    <t>【ファミレス】スケバン</t>
    <phoneticPr fontId="7"/>
  </si>
  <si>
    <t>【応援団】乙姫</t>
    <phoneticPr fontId="7"/>
  </si>
  <si>
    <t>【猫又】乙姫</t>
    <phoneticPr fontId="7"/>
  </si>
  <si>
    <t>【スサノオ】乙姫</t>
    <phoneticPr fontId="7"/>
  </si>
  <si>
    <t>【怪盗X】滝夜叉姫</t>
    <phoneticPr fontId="7"/>
  </si>
  <si>
    <t>かいとうなんそうさとみはっけんでん</t>
    <phoneticPr fontId="7"/>
  </si>
  <si>
    <t>【4周年】天クロオールスターズ～感謝～</t>
    <phoneticPr fontId="7"/>
  </si>
  <si>
    <t>【F1レース】横浜セーラーちゃん</t>
    <phoneticPr fontId="7"/>
  </si>
  <si>
    <t>えふわんれーすよこはませーらーちゃん</t>
    <phoneticPr fontId="7"/>
  </si>
  <si>
    <t>サーキットのかもめ</t>
    <phoneticPr fontId="7"/>
  </si>
  <si>
    <t>タイプ偉人・妖怪・名物の防70％UP</t>
    <phoneticPr fontId="7"/>
  </si>
  <si>
    <t>【アイドル】横浜セーラーちゃん</t>
    <phoneticPr fontId="7"/>
  </si>
  <si>
    <t>あいどるよこはませーらーちゃん</t>
    <phoneticPr fontId="7"/>
  </si>
  <si>
    <t>世界へ翔く水兵アイドル</t>
    <rPh sb="0" eb="2">
      <t>セカイ</t>
    </rPh>
    <rPh sb="3" eb="4">
      <t>ショウ</t>
    </rPh>
    <rPh sb="5" eb="7">
      <t>スイヘイ</t>
    </rPh>
    <phoneticPr fontId="7"/>
  </si>
  <si>
    <t>タイプ神秘・知性派・飲食の防70％UP</t>
    <phoneticPr fontId="7"/>
  </si>
  <si>
    <t>【竜宮物語】横浜セーラーちゃん</t>
    <phoneticPr fontId="7"/>
  </si>
  <si>
    <t>りゅうぐうものがたりよこはませーらーちゃん</t>
    <phoneticPr fontId="7"/>
  </si>
  <si>
    <t>亀が誘う海中神秘の世界</t>
    <phoneticPr fontId="7"/>
  </si>
  <si>
    <t>タイプ伝承・武人・姫の防70％UP</t>
    <phoneticPr fontId="7"/>
  </si>
  <si>
    <t>【独眼竜】伊達政宗</t>
    <phoneticPr fontId="7"/>
  </si>
  <si>
    <t>【革命】伊達政宗</t>
    <phoneticPr fontId="7"/>
  </si>
  <si>
    <t>【酒仙】伊達政宗</t>
    <phoneticPr fontId="7"/>
  </si>
  <si>
    <t>【勇者】万里姫</t>
    <phoneticPr fontId="7"/>
  </si>
  <si>
    <t>【提灯お化け】万里姫</t>
    <phoneticPr fontId="7"/>
  </si>
  <si>
    <t>【女教師】万里姫</t>
    <phoneticPr fontId="7"/>
  </si>
  <si>
    <t>【ハロウィン】小野小町</t>
    <phoneticPr fontId="7"/>
  </si>
  <si>
    <t>【赤ずきん】小野小町</t>
    <phoneticPr fontId="7"/>
  </si>
  <si>
    <t>【日本酒辛口】小野小町</t>
    <phoneticPr fontId="7"/>
  </si>
  <si>
    <t>【春舞】仙桃院</t>
    <phoneticPr fontId="7"/>
  </si>
  <si>
    <t>【ルルコシンプ】仙桃院</t>
    <phoneticPr fontId="7"/>
  </si>
  <si>
    <t>【丹頂鶴】仙桃院</t>
    <phoneticPr fontId="7"/>
  </si>
  <si>
    <t>【ハロウィン】藤代御前</t>
    <phoneticPr fontId="7"/>
  </si>
  <si>
    <t>【サファイア】藤代御前</t>
    <phoneticPr fontId="7"/>
  </si>
  <si>
    <t>【六歌仙】藤代御前</t>
    <phoneticPr fontId="7"/>
  </si>
  <si>
    <t>【恵方巻き】雪女</t>
    <phoneticPr fontId="7"/>
  </si>
  <si>
    <t>【白虎隊】雪女</t>
    <phoneticPr fontId="7"/>
  </si>
  <si>
    <t>【レースクイーン】お月様に行ったうさぎ</t>
    <phoneticPr fontId="7"/>
  </si>
  <si>
    <t>【陰陽師】お月様に行ったうさぎ</t>
    <phoneticPr fontId="7"/>
  </si>
  <si>
    <t>【オズの魔法使い】お月様に行ったうさぎ</t>
    <phoneticPr fontId="7"/>
  </si>
  <si>
    <t>【霊玉伝説】伏姫</t>
    <phoneticPr fontId="7"/>
  </si>
  <si>
    <t>【村雨丸】伏姫</t>
    <phoneticPr fontId="7"/>
  </si>
  <si>
    <t>【オルレアン英雄譚】伏姫</t>
    <phoneticPr fontId="7"/>
  </si>
  <si>
    <t>【九尾】玉藻前</t>
    <phoneticPr fontId="7"/>
  </si>
  <si>
    <t>【竜宮】玉藻前</t>
    <phoneticPr fontId="7"/>
  </si>
  <si>
    <t>【妖精】玉藻前</t>
    <phoneticPr fontId="7"/>
  </si>
  <si>
    <t>【夏祭り】徳川家康</t>
    <phoneticPr fontId="7"/>
  </si>
  <si>
    <t>【節分パニック】平塚らいてう</t>
    <phoneticPr fontId="7"/>
  </si>
  <si>
    <t>【水無月婚】赤井輝子</t>
    <phoneticPr fontId="7"/>
  </si>
  <si>
    <t>【X’masパーティ】神田明神</t>
    <phoneticPr fontId="7"/>
  </si>
  <si>
    <t>【雨の花嫁】樋口一葉</t>
    <phoneticPr fontId="7"/>
  </si>
  <si>
    <t>【日光東照宮】徳川家康</t>
    <phoneticPr fontId="7"/>
  </si>
  <si>
    <t>【マリー・アントワネット】平塚らいてう</t>
    <phoneticPr fontId="7"/>
  </si>
  <si>
    <t>【水沢うどん】赤井輝子</t>
    <phoneticPr fontId="7"/>
  </si>
  <si>
    <t>【ジャックフロスト】神田明神</t>
    <phoneticPr fontId="7"/>
  </si>
  <si>
    <t>【シャボン玉】樋口一葉</t>
    <phoneticPr fontId="7"/>
  </si>
  <si>
    <t>【アガサ・クリスティ】樋口一葉</t>
    <phoneticPr fontId="7"/>
  </si>
  <si>
    <t>【ラム酒】徳川家康</t>
    <phoneticPr fontId="7"/>
  </si>
  <si>
    <t>【西太后】平塚らいてう</t>
    <phoneticPr fontId="7"/>
  </si>
  <si>
    <t>【楊貴妃】神田明神</t>
    <phoneticPr fontId="7"/>
  </si>
  <si>
    <t>【スカジャン】赤井輝子</t>
    <phoneticPr fontId="7"/>
  </si>
  <si>
    <t>【鰻備え】井伊直虎</t>
    <phoneticPr fontId="7"/>
  </si>
  <si>
    <t>【九尾】井伊直虎</t>
    <phoneticPr fontId="7"/>
  </si>
  <si>
    <t>【戦将】織田信長</t>
    <phoneticPr fontId="7"/>
  </si>
  <si>
    <t>【獣水着】黒百合伝説</t>
    <phoneticPr fontId="7"/>
  </si>
  <si>
    <t>【POPクリスマス】生駒吉乃</t>
    <phoneticPr fontId="7"/>
  </si>
  <si>
    <t>【浴衣】徳川慶喜</t>
    <phoneticPr fontId="7"/>
  </si>
  <si>
    <t>【お花見】真田幸村</t>
    <phoneticPr fontId="7"/>
  </si>
  <si>
    <t>【交響曲第九番】織田信長</t>
    <phoneticPr fontId="7"/>
  </si>
  <si>
    <t>【ナイチンゲール】黒百合伝説</t>
    <phoneticPr fontId="7"/>
  </si>
  <si>
    <t>【招き猫】生駒吉乃</t>
    <phoneticPr fontId="7"/>
  </si>
  <si>
    <t>【伊賀流】徳川慶喜</t>
    <phoneticPr fontId="7"/>
  </si>
  <si>
    <t>【信玄餅】真田幸村</t>
    <phoneticPr fontId="7"/>
  </si>
  <si>
    <t>【エビフライ】織田信長</t>
    <phoneticPr fontId="7"/>
  </si>
  <si>
    <t>【くノ一】黒百合伝説</t>
    <phoneticPr fontId="7"/>
  </si>
  <si>
    <t>【ミヅハノメ】生駒吉乃</t>
    <phoneticPr fontId="7"/>
  </si>
  <si>
    <t>【童子切】徳川慶喜</t>
    <phoneticPr fontId="7"/>
  </si>
  <si>
    <t>【人狼】真田幸村</t>
    <phoneticPr fontId="7"/>
  </si>
  <si>
    <t>【聖獣】真神</t>
    <phoneticPr fontId="7"/>
  </si>
  <si>
    <t>【陰陽道】 安倍晴明</t>
    <phoneticPr fontId="7"/>
  </si>
  <si>
    <t>【4周年】鳰姫</t>
    <phoneticPr fontId="7"/>
  </si>
  <si>
    <t>【お部屋】酒呑童子</t>
    <phoneticPr fontId="7"/>
  </si>
  <si>
    <t>【運動会】鬼切丸</t>
    <phoneticPr fontId="7"/>
  </si>
  <si>
    <t>【桃の節句】紫式部</t>
    <phoneticPr fontId="7"/>
  </si>
  <si>
    <t>【艶姫】真神</t>
    <phoneticPr fontId="7"/>
  </si>
  <si>
    <t>【たこ焼き】安倍晴明</t>
    <phoneticPr fontId="7"/>
  </si>
  <si>
    <t>【ジャンヌダルク】鳰姫</t>
    <phoneticPr fontId="7"/>
  </si>
  <si>
    <t>【胤栄】酒呑童子</t>
    <phoneticPr fontId="7"/>
  </si>
  <si>
    <t>【月見酒】鬼切丸</t>
    <phoneticPr fontId="7"/>
  </si>
  <si>
    <t>【エリザベス一世】紫式部</t>
    <phoneticPr fontId="7"/>
  </si>
  <si>
    <t>【五重塔】真神</t>
    <phoneticPr fontId="7"/>
  </si>
  <si>
    <t>【封魔剣】安倍晴明</t>
    <phoneticPr fontId="7"/>
  </si>
  <si>
    <t>【七星剣】鳰姫</t>
    <phoneticPr fontId="7"/>
  </si>
  <si>
    <t>【浮世絵師】酒呑童子</t>
    <phoneticPr fontId="7"/>
  </si>
  <si>
    <t>【羅生門】鬼切丸</t>
    <phoneticPr fontId="7"/>
  </si>
  <si>
    <t>【清水の舞台】紫式部</t>
    <phoneticPr fontId="7"/>
  </si>
  <si>
    <t>【ややこ踊り】出雲阿国</t>
    <phoneticPr fontId="7"/>
  </si>
  <si>
    <t>【花水着】三村鶴</t>
    <phoneticPr fontId="7"/>
  </si>
  <si>
    <t>【温泉パニック】豪姫</t>
    <phoneticPr fontId="7"/>
  </si>
  <si>
    <t>【鬼切衆】宮本武蔵</t>
    <phoneticPr fontId="7"/>
  </si>
  <si>
    <t>【大航海時代】イチキシマヒメ</t>
    <phoneticPr fontId="7"/>
  </si>
  <si>
    <t>【元旦】桃太郎</t>
    <phoneticPr fontId="7"/>
  </si>
  <si>
    <t>【海開き】隠神刑部</t>
    <phoneticPr fontId="7"/>
  </si>
  <si>
    <t>【アヤカシ】出雲阿国</t>
    <phoneticPr fontId="7"/>
  </si>
  <si>
    <t>【神剣】三村鶴</t>
    <phoneticPr fontId="7"/>
  </si>
  <si>
    <t>【熊野筆】三村鶴</t>
    <phoneticPr fontId="7"/>
  </si>
  <si>
    <t>【キウイフルーツ】豪姫</t>
    <phoneticPr fontId="7"/>
  </si>
  <si>
    <t>【素戔嗚尊】宮本武蔵</t>
    <phoneticPr fontId="7"/>
  </si>
  <si>
    <t>【厳島神社】イチキシマヒメ</t>
    <phoneticPr fontId="7"/>
  </si>
  <si>
    <t>【富嶽三十六景】桃太郎</t>
    <phoneticPr fontId="7"/>
  </si>
  <si>
    <t>【四国四大神】隠神刑部</t>
    <phoneticPr fontId="7"/>
  </si>
  <si>
    <t>【アリス】出雲阿国</t>
    <phoneticPr fontId="7"/>
  </si>
  <si>
    <t>【ナイチンゲール】豪姫</t>
    <phoneticPr fontId="7"/>
  </si>
  <si>
    <t>【鬼神】宮本武蔵</t>
    <phoneticPr fontId="7"/>
  </si>
  <si>
    <t>【水守巫女】イチキシマヒメ</t>
    <phoneticPr fontId="7"/>
  </si>
  <si>
    <t>【きびだんご】桃太郎</t>
    <phoneticPr fontId="7"/>
  </si>
  <si>
    <t>【クレオパトラ】隠神刑部</t>
    <phoneticPr fontId="7"/>
  </si>
  <si>
    <t>【神謀鬼策】黒田官兵衛</t>
    <phoneticPr fontId="7"/>
  </si>
  <si>
    <t>【薩摩切子】篤姫</t>
    <phoneticPr fontId="7"/>
  </si>
  <si>
    <t>【忍者】篤姫</t>
    <phoneticPr fontId="7"/>
  </si>
  <si>
    <t>【へし切長谷部】黒田官兵衛</t>
    <phoneticPr fontId="7"/>
  </si>
  <si>
    <t>【祇園山笠】黒田官兵衛</t>
    <phoneticPr fontId="7"/>
  </si>
  <si>
    <t>【戦国海開き】柳原白蓮</t>
    <phoneticPr fontId="7"/>
  </si>
  <si>
    <t>【迎春】天草四郎</t>
    <phoneticPr fontId="7"/>
  </si>
  <si>
    <t>【湯けむり】泡盛ちゃん</t>
    <phoneticPr fontId="7"/>
  </si>
  <si>
    <t>【戦国姫】柳原白蓮</t>
    <phoneticPr fontId="7"/>
  </si>
  <si>
    <t>【牡丹平家譚】天草四郎</t>
    <phoneticPr fontId="7"/>
  </si>
  <si>
    <t>【空狐】泡盛ちゃん</t>
    <phoneticPr fontId="7"/>
  </si>
  <si>
    <t>【別府温泉】竜宮神</t>
    <phoneticPr fontId="7"/>
  </si>
  <si>
    <t>【化け猫】柳原白蓮</t>
    <phoneticPr fontId="7"/>
  </si>
  <si>
    <t>【麦焼酎】天草四郎</t>
    <phoneticPr fontId="7"/>
  </si>
  <si>
    <t>【邪馬台国】泡盛ちゃん</t>
    <phoneticPr fontId="7"/>
  </si>
  <si>
    <t>【三日月槍】竜宮神</t>
    <phoneticPr fontId="7"/>
  </si>
  <si>
    <t>15
20
21
22
23
24
25
26
27</t>
    <phoneticPr fontId="7"/>
  </si>
  <si>
    <t>15
24
25
26
27
28</t>
    <phoneticPr fontId="7"/>
  </si>
  <si>
    <t>【ジューンブライド】卑弥呼</t>
    <phoneticPr fontId="7"/>
  </si>
  <si>
    <t>じゅーんぶらいどひみこ</t>
    <phoneticPr fontId="7"/>
  </si>
  <si>
    <t>絶対的権力花嫁</t>
    <phoneticPr fontId="7"/>
  </si>
  <si>
    <t>偉人</t>
    <phoneticPr fontId="7"/>
  </si>
  <si>
    <t>【かんなぎ】卑弥呼</t>
    <phoneticPr fontId="7"/>
  </si>
  <si>
    <t>かんなぎひみこ</t>
    <phoneticPr fontId="7"/>
  </si>
  <si>
    <t>神招く女王卑弥呼の絵馬</t>
    <phoneticPr fontId="7"/>
  </si>
  <si>
    <t>【かぐや姫】卑弥呼</t>
    <phoneticPr fontId="7"/>
  </si>
  <si>
    <t>かぐやひめひみこ</t>
    <phoneticPr fontId="7"/>
  </si>
  <si>
    <t>満月の神託</t>
    <phoneticPr fontId="7"/>
  </si>
  <si>
    <t>15
20
24
25
26
27
28</t>
    <phoneticPr fontId="7"/>
  </si>
  <si>
    <t>174439
232584
279102
290731
302360
313989
325618</t>
    <phoneticPr fontId="7"/>
  </si>
  <si>
    <t>157647
210196
252236
262745
273254
283765
294274</t>
    <phoneticPr fontId="7"/>
  </si>
  <si>
    <t>伝承</t>
    <rPh sb="0" eb="2">
      <t>デンショウ</t>
    </rPh>
    <phoneticPr fontId="7"/>
  </si>
  <si>
    <t>名物</t>
    <rPh sb="0" eb="2">
      <t>メイブツ</t>
    </rPh>
    <phoneticPr fontId="7"/>
  </si>
  <si>
    <t>飲食</t>
    <rPh sb="0" eb="2">
      <t>インショク</t>
    </rPh>
    <phoneticPr fontId="7"/>
  </si>
  <si>
    <t>みずぎあいどるさるかにがっせん</t>
    <phoneticPr fontId="7"/>
  </si>
  <si>
    <t>アイドルの絆</t>
    <phoneticPr fontId="7"/>
  </si>
  <si>
    <t>タイプ伝承・武人・姫の攻75％UP</t>
    <phoneticPr fontId="7"/>
  </si>
  <si>
    <t>勧善懲悪ガラス合戦</t>
    <phoneticPr fontId="7"/>
  </si>
  <si>
    <t>タイプ偉人・妖怪・名物の攻75％UP</t>
    <phoneticPr fontId="7"/>
  </si>
  <si>
    <t>がらすこうぼうさるかにがっせん</t>
    <phoneticPr fontId="7"/>
  </si>
  <si>
    <t>【ガラス工房】さるかに合戦</t>
    <phoneticPr fontId="7"/>
  </si>
  <si>
    <t>【水着アイドル】さるかに合戦</t>
    <phoneticPr fontId="7"/>
  </si>
  <si>
    <t>【かき氷】さるかに合戦</t>
    <phoneticPr fontId="7"/>
  </si>
  <si>
    <t>かきごおりさるかにがっせん</t>
    <phoneticPr fontId="7"/>
  </si>
  <si>
    <t>昔懐かしかき氷の思い出</t>
    <phoneticPr fontId="7"/>
  </si>
  <si>
    <t>タイプ神秘・知性派・飲食の攻75％UP</t>
    <phoneticPr fontId="7"/>
  </si>
  <si>
    <t>【南国バカンス】讃岐うどんちゃん</t>
    <phoneticPr fontId="7"/>
  </si>
  <si>
    <t>武人</t>
    <rPh sb="0" eb="2">
      <t>ブジン</t>
    </rPh>
    <phoneticPr fontId="7"/>
  </si>
  <si>
    <t>なんごくばかんすさぬきうどんちゃん</t>
    <phoneticPr fontId="7"/>
  </si>
  <si>
    <t>トロピカルに染まる白肌</t>
    <phoneticPr fontId="7"/>
  </si>
  <si>
    <t>【新選組】讃岐うどんちゃん</t>
    <phoneticPr fontId="7"/>
  </si>
  <si>
    <t>しんせんぐみさぬきうどんちゃん</t>
    <phoneticPr fontId="7"/>
  </si>
  <si>
    <t>太く短いうどんの一生</t>
    <phoneticPr fontId="7"/>
  </si>
  <si>
    <t>【海女さん】讃岐うどんちゃん</t>
    <phoneticPr fontId="7"/>
  </si>
  <si>
    <t>あまさんさぬきうどんちゃん</t>
    <phoneticPr fontId="7"/>
  </si>
  <si>
    <t>コシが命の美しき海女</t>
    <phoneticPr fontId="7"/>
  </si>
  <si>
    <t>157575
252122
262627
273132
283637
294142</t>
    <phoneticPr fontId="7"/>
  </si>
  <si>
    <t>174365
278984
290607
302232
313857
325482</t>
    <phoneticPr fontId="7"/>
  </si>
  <si>
    <t>15
17
18
20
22
23
24
25
26
27</t>
    <phoneticPr fontId="7"/>
  </si>
  <si>
    <t>98395
111513
118074
131192
144312
150871
157432
163991
170550
177111</t>
    <phoneticPr fontId="7"/>
  </si>
  <si>
    <t>105833
119945
127000
141112
155224
162279
169334
176391
183446
190501</t>
    <phoneticPr fontId="7"/>
  </si>
  <si>
    <t>15
17
20
21
22
23
24
25
27</t>
    <phoneticPr fontId="7"/>
  </si>
  <si>
    <t>24(↑進化前+3)+竜+18</t>
    <rPh sb="4" eb="6">
      <t>シンカ</t>
    </rPh>
    <rPh sb="6" eb="7">
      <t>マエ</t>
    </rPh>
    <rPh sb="11" eb="12">
      <t>リュウ</t>
    </rPh>
    <phoneticPr fontId="7"/>
  </si>
  <si>
    <t>【サキュバス】花子さん</t>
    <phoneticPr fontId="7"/>
  </si>
  <si>
    <t>さきゅばすはなこさん</t>
    <phoneticPr fontId="7"/>
  </si>
  <si>
    <t>タイプ偉人・妖怪・名物の防75％UP</t>
    <phoneticPr fontId="7"/>
  </si>
  <si>
    <t>夢中遊戯への誘い</t>
    <phoneticPr fontId="7"/>
  </si>
  <si>
    <t>タイプ神秘・知性派・飲食の防75％UP</t>
    <phoneticPr fontId="7"/>
  </si>
  <si>
    <t>悪戯好きの福の神</t>
    <phoneticPr fontId="7"/>
  </si>
  <si>
    <t>えびすさまはなこさん</t>
    <phoneticPr fontId="7"/>
  </si>
  <si>
    <t>【恵比寿さま】花子さん</t>
    <phoneticPr fontId="7"/>
  </si>
  <si>
    <t>タイプ伝承・武人・姫の防75％UP</t>
    <phoneticPr fontId="7"/>
  </si>
  <si>
    <t>神出鬼没な忍び霊</t>
    <phoneticPr fontId="7"/>
  </si>
  <si>
    <t>にんじゃしゅぎょうはなこさん</t>
    <phoneticPr fontId="7"/>
  </si>
  <si>
    <t>【忍者修行】花子さん</t>
    <phoneticPr fontId="7"/>
  </si>
  <si>
    <t>15,</t>
    <phoneticPr fontId="7"/>
  </si>
  <si>
    <t>15
20
22
23
24
25
26
27</t>
    <phoneticPr fontId="7"/>
  </si>
  <si>
    <t>タイプ神秘・知性派・飲食の攻75％UP</t>
    <phoneticPr fontId="7"/>
  </si>
  <si>
    <t>変幻極まりない仮装くノ一</t>
    <phoneticPr fontId="7"/>
  </si>
  <si>
    <t>はろうぃんもちづきちよめ</t>
    <phoneticPr fontId="7"/>
  </si>
  <si>
    <t>【ハロウィン】望月千代女</t>
    <phoneticPr fontId="7"/>
  </si>
  <si>
    <t>知性派</t>
    <phoneticPr fontId="7"/>
  </si>
  <si>
    <t>タイプ伝承・武人・姫の攻75％UP</t>
    <phoneticPr fontId="7"/>
  </si>
  <si>
    <t>弦月掲げる隻眼のくノ一</t>
    <phoneticPr fontId="7"/>
  </si>
  <si>
    <t>どくがんりゅうもちづきちよめ</t>
    <phoneticPr fontId="7"/>
  </si>
  <si>
    <t>【独眼竜】望月千代女</t>
    <phoneticPr fontId="7"/>
  </si>
  <si>
    <t>武人</t>
    <phoneticPr fontId="7"/>
  </si>
  <si>
    <t>タイプ偉人・妖怪・名物の攻75％UP</t>
    <phoneticPr fontId="7"/>
  </si>
  <si>
    <t>疾るオルレアンの乙女</t>
    <phoneticPr fontId="7"/>
  </si>
  <si>
    <t>かくめいのせいじょもちづきちよめ</t>
    <phoneticPr fontId="7"/>
  </si>
  <si>
    <t>【革命の聖女】望月千代女</t>
    <phoneticPr fontId="7"/>
  </si>
  <si>
    <t>偉人</t>
    <phoneticPr fontId="7"/>
  </si>
  <si>
    <t>15
17
20
21
22
23
24
25
26
27</t>
    <phoneticPr fontId="7"/>
  </si>
  <si>
    <t>15
17
18
19
20
21
22
24
25
26
27</t>
    <phoneticPr fontId="7"/>
  </si>
  <si>
    <t>83712
94872
100454
106034
111616
117196
122776
133938
139520
145100
150680</t>
    <phoneticPr fontId="7"/>
  </si>
  <si>
    <t>94236
106800
113082
119364
125648
131930
138212
150776
157060
163342
169624</t>
    <phoneticPr fontId="7"/>
  </si>
  <si>
    <t>15
17
18
20
21
22
23
24
25
26
27</t>
    <phoneticPr fontId="7"/>
  </si>
  <si>
    <t>94236
106800
113082
125648
131930
138212
144494
150776
157060
163342
169624</t>
    <phoneticPr fontId="7"/>
  </si>
  <si>
    <t>83712
94872
100454
111616
117196
122776
128358
133938
139520
145100
150680</t>
    <phoneticPr fontId="7"/>
  </si>
  <si>
    <t>【湯けむり温泉】白ワインちゃん</t>
    <phoneticPr fontId="7"/>
  </si>
  <si>
    <t>ゆけむりおんせんしろわいんちゃん</t>
    <phoneticPr fontId="7"/>
  </si>
  <si>
    <t>自然が作り出す神秘</t>
    <phoneticPr fontId="7"/>
  </si>
  <si>
    <t>南国に酔う黄金酒</t>
    <phoneticPr fontId="7"/>
  </si>
  <si>
    <t>にんぎょひめしろわいんちゃん</t>
    <phoneticPr fontId="7"/>
  </si>
  <si>
    <t>【人魚姫】白ワインちゃん</t>
    <phoneticPr fontId="7"/>
  </si>
  <si>
    <t>白ワインの夜明け</t>
    <phoneticPr fontId="7"/>
  </si>
  <si>
    <t>ばくまつしししろわいんちゃん</t>
    <phoneticPr fontId="7"/>
  </si>
  <si>
    <t>【幕末志士】白ワインちゃん</t>
    <phoneticPr fontId="7"/>
  </si>
  <si>
    <t>223681
298240
328064
342977
357888
372801
387714
402625</t>
    <phoneticPr fontId="7"/>
  </si>
  <si>
    <t>202144
269524
296478
309954
323430
336906
350382
363858</t>
    <phoneticPr fontId="7"/>
  </si>
  <si>
    <t>がんたんももたろう</t>
    <phoneticPr fontId="7"/>
  </si>
  <si>
    <t>タイプ神秘・知性派・飲食の攻80％UP</t>
    <phoneticPr fontId="7"/>
  </si>
  <si>
    <t>クリスマスの解放運動</t>
    <phoneticPr fontId="7"/>
  </si>
  <si>
    <t>くりすますぷれぜんとふくだひでこ</t>
    <phoneticPr fontId="7"/>
  </si>
  <si>
    <t>【Xmasプレゼント】福田英子</t>
    <phoneticPr fontId="7"/>
  </si>
  <si>
    <t>タイプ偉人・妖怪・名物の攻80％UP</t>
    <phoneticPr fontId="7"/>
  </si>
  <si>
    <t>英雄となった女性運動家</t>
    <phoneticPr fontId="7"/>
  </si>
  <si>
    <t>なぽれおんふくだひでこ</t>
    <phoneticPr fontId="7"/>
  </si>
  <si>
    <t>【ナポレオン】福田英子</t>
    <phoneticPr fontId="7"/>
  </si>
  <si>
    <t>タイプ伝承・武人・姫の攻80％UP</t>
    <phoneticPr fontId="7"/>
  </si>
  <si>
    <t>先駆者の解けぬ魔法</t>
    <phoneticPr fontId="7"/>
  </si>
  <si>
    <t>しんでれらふくだひでこ</t>
    <phoneticPr fontId="7"/>
  </si>
  <si>
    <t>【シンデレラ】福田英子</t>
    <phoneticPr fontId="7"/>
  </si>
  <si>
    <t>タイプ偉人・妖怪・名物の防80％UP</t>
    <phoneticPr fontId="7"/>
  </si>
  <si>
    <t>船幽霊の切実なる抱負</t>
    <phoneticPr fontId="7"/>
  </si>
  <si>
    <t>しんしゅんにせんにじゅういちあやかし</t>
    <phoneticPr fontId="7"/>
  </si>
  <si>
    <t>【新春2021】アヤカシ</t>
    <phoneticPr fontId="7"/>
  </si>
  <si>
    <t>妖怪</t>
    <phoneticPr fontId="7"/>
  </si>
  <si>
    <t>タイプ伝承・武人・姫の防80％UP</t>
    <phoneticPr fontId="7"/>
  </si>
  <si>
    <t>義賊となった妖の誘い</t>
    <phoneticPr fontId="7"/>
  </si>
  <si>
    <t>ろびんふっどあやかし</t>
    <phoneticPr fontId="7"/>
  </si>
  <si>
    <t>【ロビンフッド】アヤカシ</t>
    <phoneticPr fontId="7"/>
  </si>
  <si>
    <t>タイプ神秘・知性派・飲食の防80％UP</t>
    <phoneticPr fontId="7"/>
  </si>
  <si>
    <t>執念深き月光の女神</t>
    <phoneticPr fontId="7"/>
  </si>
  <si>
    <t>あるてみすあやかし</t>
    <phoneticPr fontId="7"/>
  </si>
  <si>
    <t>【アルテミス】アヤカシ</t>
    <phoneticPr fontId="7"/>
  </si>
  <si>
    <t>27
28
32</t>
    <phoneticPr fontId="7"/>
  </si>
  <si>
    <t>327154
339272
387740</t>
    <phoneticPr fontId="7"/>
  </si>
  <si>
    <t>267651
277564
317216</t>
    <phoneticPr fontId="7"/>
  </si>
  <si>
    <t>【バレンタインデー】福姫</t>
    <phoneticPr fontId="7"/>
  </si>
  <si>
    <t>勝利に導く恋の定番</t>
    <phoneticPr fontId="7"/>
  </si>
  <si>
    <t>ばれんたいんでーふくひめ</t>
    <phoneticPr fontId="7"/>
  </si>
  <si>
    <t>内助の退魔姫</t>
    <phoneticPr fontId="7"/>
  </si>
  <si>
    <t>おんみょうじふくひめ</t>
    <phoneticPr fontId="7"/>
  </si>
  <si>
    <t>【陰陽師】福姫</t>
    <phoneticPr fontId="7"/>
  </si>
  <si>
    <t>金魚狙う猫姫</t>
    <phoneticPr fontId="7"/>
  </si>
  <si>
    <t>ねこむすめふくひめ</t>
    <phoneticPr fontId="7"/>
  </si>
  <si>
    <t>【ネコムスメ】福姫</t>
    <phoneticPr fontId="7"/>
  </si>
  <si>
    <t>15
20
21
22
23
24
25
26
27
28</t>
    <phoneticPr fontId="7"/>
  </si>
  <si>
    <t>87780
117040
122892
128744
134596
140448
146300
152152
158004
163856</t>
    <phoneticPr fontId="7"/>
  </si>
  <si>
    <t>82212
109616
115096
120576
126058
131538
137020
142500
147980
153462</t>
    <phoneticPr fontId="7"/>
  </si>
  <si>
    <t>15
17
20
21
22
23
24
25
26</t>
    <phoneticPr fontId="7"/>
  </si>
  <si>
    <t>130160
147514
173548
182224
190902
199580
208256
216934
225612</t>
    <phoneticPr fontId="7"/>
  </si>
  <si>
    <t>139999
158667
186668
196001
205334
214667
224000
233333
242668</t>
    <phoneticPr fontId="7"/>
  </si>
  <si>
    <t>24(↑進化前+3)+21+24,15</t>
    <rPh sb="4" eb="6">
      <t>シンカ</t>
    </rPh>
    <rPh sb="6" eb="7">
      <t>マエ</t>
    </rPh>
    <phoneticPr fontId="7"/>
  </si>
  <si>
    <t>15
22
24
25
26
27
28
29</t>
    <phoneticPr fontId="7"/>
  </si>
  <si>
    <t>220780
323812
353250
367968
382686
397406
412124
426842</t>
    <phoneticPr fontId="7"/>
  </si>
  <si>
    <t>199554
292680
319286
332590
345894
359198
372500
385804</t>
    <phoneticPr fontId="7"/>
  </si>
  <si>
    <t>94236
106800
125648
131930
138212
144494
150776
157060
163342
169624</t>
    <phoneticPr fontId="7"/>
  </si>
  <si>
    <t>83712
94872
111616
117196
122776
128358
133938
139520
145100
150680</t>
    <phoneticPr fontId="7"/>
  </si>
  <si>
    <t>15
18
19
21
22
23
24
26
27</t>
    <phoneticPr fontId="7"/>
  </si>
  <si>
    <t>140016
168020
177354
196022
205358
214692
224026
242696
252030</t>
    <phoneticPr fontId="7"/>
  </si>
  <si>
    <t>130194
156232
164912
182272
190952
199630
208310
225670
234350</t>
    <phoneticPr fontId="7"/>
  </si>
  <si>
    <t>113525
128661
151368
158935
166504
174073
181640
189209
196778
204345</t>
    <phoneticPr fontId="7"/>
  </si>
  <si>
    <t>105545
119619
140728
147765
154800
161837
168874
175911
182946
189983</t>
    <phoneticPr fontId="7"/>
  </si>
  <si>
    <t>15
17
18
19
20
21
22
23
24
25
26
27</t>
    <phoneticPr fontId="7"/>
  </si>
  <si>
    <t>130194
147552
156232
164912
173592
182272
190952
199630
208310
216990
225670
234350</t>
    <phoneticPr fontId="7"/>
  </si>
  <si>
    <t>140016
158684
168020
177354
186688
196022
205358
214692
224026
233360
242696
252030</t>
    <phoneticPr fontId="7"/>
  </si>
  <si>
    <t>特Ａランクの美人雛</t>
    <phoneticPr fontId="7"/>
  </si>
  <si>
    <t>おひなさまあきたこまちちゃん</t>
    <phoneticPr fontId="7"/>
  </si>
  <si>
    <t>【お雛様】アキタコマチちゃん</t>
    <phoneticPr fontId="7"/>
  </si>
  <si>
    <t>世紀の大発見の偉業</t>
    <phoneticPr fontId="7"/>
  </si>
  <si>
    <t>まり・きゅりーあきたこまちちゃん</t>
    <phoneticPr fontId="7"/>
  </si>
  <si>
    <t>【マリ・キュリー】アキタコマチちゃん</t>
    <phoneticPr fontId="7"/>
  </si>
  <si>
    <t>容姿端麗知略のこめ神</t>
    <phoneticPr fontId="7"/>
  </si>
  <si>
    <t>伝承</t>
    <phoneticPr fontId="7"/>
  </si>
  <si>
    <t>あてなあきたこまちちゃん</t>
    <phoneticPr fontId="7"/>
  </si>
  <si>
    <t>【アテナ】アキタコマチちゃん</t>
    <phoneticPr fontId="7"/>
  </si>
  <si>
    <t>91807
104049
110170
116289
122410
128531
134652
140771
146892
153013
159134
165255</t>
    <phoneticPr fontId="7"/>
  </si>
  <si>
    <t>98751
111917
118500
125083
131668
138251
144834
151417
158000
164585
171168
177751</t>
    <phoneticPr fontId="7"/>
  </si>
  <si>
    <t>94236
106800
125648
144494
131930
138212
150776
157060
163342</t>
    <phoneticPr fontId="7"/>
  </si>
  <si>
    <t>83712
94872
111616
117196
122776
128358
133938
139520
145100</t>
    <phoneticPr fontId="7"/>
  </si>
  <si>
    <t>102590
116268
123108
136788
143626
150466
157306
164144
170984
177824
184662</t>
    <phoneticPr fontId="7"/>
  </si>
  <si>
    <t>95371
108087
114446
127162
133519
139878
146235
152594
158951
165310
171669</t>
    <phoneticPr fontId="7"/>
  </si>
  <si>
    <t>20
24
27
28
29
30</t>
    <phoneticPr fontId="7"/>
  </si>
  <si>
    <t>208264
249916
281156
291568
301982
312396</t>
    <phoneticPr fontId="7"/>
  </si>
  <si>
    <t>254524
305430
343608
356334
369062
381788</t>
    <phoneticPr fontId="7"/>
  </si>
  <si>
    <t>タイプ偉人・妖怪・名物の攻85％UP</t>
    <phoneticPr fontId="7"/>
  </si>
  <si>
    <t>妖しく揺らぐ桜と龍神の灯</t>
    <phoneticPr fontId="7"/>
  </si>
  <si>
    <t>かんおうかいしらぬい</t>
    <phoneticPr fontId="7"/>
  </si>
  <si>
    <t>【観桜会】不知火</t>
    <phoneticPr fontId="7"/>
  </si>
  <si>
    <t>タイプ神秘・知性派・飲食の攻85％UP</t>
    <phoneticPr fontId="7"/>
  </si>
  <si>
    <t>情熱の不知火</t>
    <phoneticPr fontId="7"/>
  </si>
  <si>
    <t>だんさーしらぬい</t>
    <phoneticPr fontId="7"/>
  </si>
  <si>
    <t>【ダンサー】不知火</t>
    <phoneticPr fontId="7"/>
  </si>
  <si>
    <t>タイプ伝承・武人・姫の攻85％UP</t>
    <phoneticPr fontId="7"/>
  </si>
  <si>
    <t>蜃気楼呼ぶ海軍提督</t>
    <phoneticPr fontId="7"/>
  </si>
  <si>
    <t>かいぐんていとくしらぬい</t>
    <phoneticPr fontId="7"/>
  </si>
  <si>
    <t>【海軍提督】不知火</t>
    <phoneticPr fontId="7"/>
  </si>
  <si>
    <t>15
20
26
27
28
30</t>
    <phoneticPr fontId="7"/>
  </si>
  <si>
    <t>164623
219498
285346
296321
307296
329246</t>
    <phoneticPr fontId="7"/>
  </si>
  <si>
    <t>182147
242864
315722
327865
340008
364296</t>
    <phoneticPr fontId="7"/>
  </si>
  <si>
    <t>2017年09月
イベ報酬
5進化SSR</t>
    <rPh sb="4" eb="5">
      <t>ネン</t>
    </rPh>
    <rPh sb="7" eb="8">
      <t>ガツ</t>
    </rPh>
    <rPh sb="11" eb="13">
      <t>ホウシュウ</t>
    </rPh>
    <rPh sb="15" eb="17">
      <t>シンカ</t>
    </rPh>
    <phoneticPr fontId="7"/>
  </si>
  <si>
    <t>15
17
20
21
22
23
24
25
26
27
28</t>
    <phoneticPr fontId="7"/>
  </si>
  <si>
    <t>162496
184162
216662
227496
238328
249162
259994
270828
281662
292494
303328</t>
    <phoneticPr fontId="7"/>
  </si>
  <si>
    <t>151067
171211
201424
211495
221566
231637
241708
251781
261852
271923
281994</t>
    <phoneticPr fontId="7"/>
  </si>
  <si>
    <t>15
18
21
22
23
24
25
26
27
28
29
30</t>
    <phoneticPr fontId="7"/>
  </si>
  <si>
    <t>94236
113082
131930
138212
144494
150776
157060
163342
169624
175906
182188
188472</t>
    <phoneticPr fontId="7"/>
  </si>
  <si>
    <t>83712
100454
117196
122776
128358
133938
139520
145100
150680
156262
161842
167424</t>
    <phoneticPr fontId="7"/>
  </si>
  <si>
    <t>15
20
22
23
24
25
26
27
28</t>
    <phoneticPr fontId="7"/>
  </si>
  <si>
    <t>158850
180030
190620
201210
211800
222390
232980
243570
254160
264750
275342
285930</t>
    <phoneticPr fontId="7"/>
  </si>
  <si>
    <t>170856
193636
205026
216416
227808
239198
250588
261978
273368
284760
296150
307540</t>
    <phoneticPr fontId="7"/>
  </si>
  <si>
    <t>27
28
29
30
31</t>
    <phoneticPr fontId="7"/>
  </si>
  <si>
    <t>281517
291942
302369
312796
323223</t>
    <phoneticPr fontId="7"/>
  </si>
  <si>
    <t>344095
356840
369585
382328
395073</t>
    <phoneticPr fontId="7"/>
  </si>
  <si>
    <t>27
28
29
30
32</t>
    <phoneticPr fontId="7"/>
  </si>
  <si>
    <t>297100
308104
319106
330110
352118</t>
    <phoneticPr fontId="7"/>
  </si>
  <si>
    <t>268524
278470
288416
298362
318252</t>
    <phoneticPr fontId="7"/>
  </si>
  <si>
    <t>312433
324004
335575
347148
358719</t>
    <phoneticPr fontId="7"/>
  </si>
  <si>
    <t>282374
292832
303290
313748
324206</t>
    <phoneticPr fontId="7"/>
  </si>
  <si>
    <t>15
21
22
23
24
25
26
27
30</t>
    <phoneticPr fontId="7"/>
  </si>
  <si>
    <t>82212
115096
120576
126058
131538
137020
142500
147980
164424</t>
    <phoneticPr fontId="7"/>
  </si>
  <si>
    <t>87780
122892
128744
134596
140448
146300
152152
158004
175560</t>
    <phoneticPr fontId="7"/>
  </si>
  <si>
    <t>タイプ伝承・武人・姫の防85％UP</t>
    <phoneticPr fontId="7"/>
  </si>
  <si>
    <t>夏海も制する百発百中の女傑</t>
    <phoneticPr fontId="7"/>
  </si>
  <si>
    <t>うみのいえはんがくごぜん</t>
    <phoneticPr fontId="7"/>
  </si>
  <si>
    <t>【海の家】板額御前</t>
    <phoneticPr fontId="7"/>
  </si>
  <si>
    <t>タイプ神秘・知性派・飲食の防85％UP</t>
    <phoneticPr fontId="7"/>
  </si>
  <si>
    <t>幽霊射抜く強弓の腕</t>
    <phoneticPr fontId="7"/>
  </si>
  <si>
    <t>ごーすとばすたーはんがくごぜん</t>
    <phoneticPr fontId="7"/>
  </si>
  <si>
    <t>【ゴーストバスター】板額御前</t>
    <phoneticPr fontId="7"/>
  </si>
  <si>
    <t>タイプ偉人・妖怪・名物の防85％UP</t>
    <phoneticPr fontId="7"/>
  </si>
  <si>
    <t>涼を呼ぶ凛とした女武将</t>
    <phoneticPr fontId="7"/>
  </si>
  <si>
    <t>名物</t>
    <phoneticPr fontId="7"/>
  </si>
  <si>
    <t>ふうりんまつりはんがくごぜん</t>
    <phoneticPr fontId="7"/>
  </si>
  <si>
    <t>【風鈴祭り】板額御前</t>
    <phoneticPr fontId="7"/>
  </si>
  <si>
    <t>266496
312442</t>
    <phoneticPr fontId="7"/>
  </si>
  <si>
    <t>29
34</t>
    <phoneticPr fontId="7"/>
  </si>
  <si>
    <t>325712
381870</t>
    <phoneticPr fontId="7"/>
  </si>
  <si>
    <t>28
29
30
33</t>
    <phoneticPr fontId="7"/>
  </si>
  <si>
    <t>263960
273388
282816
311096</t>
    <phoneticPr fontId="7"/>
  </si>
  <si>
    <t>322612
334134
345656
380222</t>
    <phoneticPr fontId="7"/>
  </si>
  <si>
    <t>157899
231586
252640
263165
273692
284219
294746
305273</t>
    <phoneticPr fontId="7"/>
  </si>
  <si>
    <t>174710
256240
279536
291184
302830
314478
326126
337772</t>
    <phoneticPr fontId="7"/>
  </si>
  <si>
    <t>姫</t>
    <phoneticPr fontId="7"/>
  </si>
  <si>
    <t>雷神の娘が歌う魂の叫び</t>
    <phoneticPr fontId="7"/>
  </si>
  <si>
    <t>しすたーたちばなぎんちよ</t>
    <phoneticPr fontId="7"/>
  </si>
  <si>
    <t>【シスター】立花誾千代</t>
    <phoneticPr fontId="7"/>
  </si>
  <si>
    <t>雷神仕込みのバチさばき</t>
    <phoneticPr fontId="7"/>
  </si>
  <si>
    <t>らいじんたちばなぎんちよ</t>
    <phoneticPr fontId="7"/>
  </si>
  <si>
    <t>【雷神】立花誾千代</t>
    <phoneticPr fontId="7"/>
  </si>
  <si>
    <t>西国一の女丈夫ナース</t>
    <phoneticPr fontId="7"/>
  </si>
  <si>
    <t>なーすたちばなぎんちよ</t>
    <phoneticPr fontId="7"/>
  </si>
  <si>
    <t>【ナース】立花誾千代</t>
    <phoneticPr fontId="7"/>
  </si>
  <si>
    <t>歌が導く童話の世界</t>
    <phoneticPr fontId="7"/>
  </si>
  <si>
    <t>ゆうえんびよりきんぎょのうた</t>
    <phoneticPr fontId="7"/>
  </si>
  <si>
    <t>【遊園日和】金魚の歌</t>
    <phoneticPr fontId="7"/>
  </si>
  <si>
    <t>おしゃべり金魚の雨宿り</t>
    <phoneticPr fontId="7"/>
  </si>
  <si>
    <t>あじさいきんぎょのうた</t>
    <phoneticPr fontId="7"/>
  </si>
  <si>
    <t>【アジサイ】金魚の歌</t>
    <phoneticPr fontId="7"/>
  </si>
  <si>
    <t>ブドウ踏む金魚娘</t>
    <phoneticPr fontId="7"/>
  </si>
  <si>
    <t>ぶどうふみむすめきんぎょのうた</t>
    <phoneticPr fontId="7"/>
  </si>
  <si>
    <t>【ブドウ踏み娘】金魚の歌</t>
    <phoneticPr fontId="7"/>
  </si>
  <si>
    <t>95371
114446
127162
133519
139878
146235
152594
158951
165310
171669</t>
    <phoneticPr fontId="7"/>
  </si>
  <si>
    <t>102590
123108
136788
143626
150466
157306
164144
170984
177824
184662</t>
    <phoneticPr fontId="7"/>
  </si>
  <si>
    <t>28
29
30
32</t>
    <phoneticPr fontId="7"/>
  </si>
  <si>
    <t>277564
287477
297390
317216</t>
    <phoneticPr fontId="7"/>
  </si>
  <si>
    <t>339272
351388
363506
387740</t>
    <phoneticPr fontId="7"/>
  </si>
  <si>
    <t>15
18
19
20
21
22
23
24
25
26
27
30</t>
    <phoneticPr fontId="7"/>
  </si>
  <si>
    <t>83712
100454
106034
111616
117196
122776
128358
133938
139520
145100
150680
167424</t>
    <phoneticPr fontId="7"/>
  </si>
  <si>
    <t>94236
113082
119364
125648
131930
138212
144494
150776
157060
163342
169624
188472</t>
    <phoneticPr fontId="7"/>
  </si>
  <si>
    <t>83712
94872
111616
117196
122776
128358
133938
139520
150680</t>
    <phoneticPr fontId="7"/>
  </si>
  <si>
    <t>94236
106800
125648
131930
138212
144494
150776
157060
169624</t>
    <phoneticPr fontId="7"/>
  </si>
  <si>
    <t>花火を纏う炎の神獣</t>
    <phoneticPr fontId="7"/>
  </si>
  <si>
    <t>なつよまつりすざく</t>
    <phoneticPr fontId="7"/>
  </si>
  <si>
    <t>【夏夜祭】朱雀</t>
    <phoneticPr fontId="7"/>
  </si>
  <si>
    <t>いばらの呪いも解く愛の炎</t>
    <phoneticPr fontId="7"/>
  </si>
  <si>
    <t>いばらのひめすざく</t>
    <phoneticPr fontId="7"/>
  </si>
  <si>
    <t>【いばらの姫】朱雀</t>
    <phoneticPr fontId="7"/>
  </si>
  <si>
    <r>
      <rPr>
        <sz val="11"/>
        <color theme="1"/>
        <rFont val="游ゴシック"/>
        <family val="2"/>
        <charset val="128"/>
      </rPr>
      <t>タイプ偉人・妖怪・名物の攻</t>
    </r>
    <r>
      <rPr>
        <sz val="11"/>
        <color theme="1"/>
        <rFont val="Yu Gothic"/>
        <family val="2"/>
        <scheme val="minor"/>
      </rPr>
      <t>85</t>
    </r>
    <r>
      <rPr>
        <sz val="11"/>
        <color theme="1"/>
        <rFont val="游ゴシック"/>
        <family val="2"/>
        <charset val="128"/>
      </rPr>
      <t>％</t>
    </r>
    <r>
      <rPr>
        <sz val="11"/>
        <color theme="1"/>
        <rFont val="Yu Gothic"/>
        <family val="2"/>
        <scheme val="minor"/>
      </rPr>
      <t>UP</t>
    </r>
    <phoneticPr fontId="7"/>
  </si>
  <si>
    <t>朱く燃える心臓の鼓動</t>
    <phoneticPr fontId="7"/>
  </si>
  <si>
    <t>けんけつきすざく</t>
    <phoneticPr fontId="7"/>
  </si>
  <si>
    <t>【献血鬼】朱雀</t>
    <phoneticPr fontId="7"/>
  </si>
  <si>
    <t>15
20
25
26
27
28
29
30</t>
    <phoneticPr fontId="7"/>
  </si>
  <si>
    <t>181717
242288
302861
314976
327089
339204
351319
363434</t>
    <phoneticPr fontId="7"/>
  </si>
  <si>
    <t>164244
218992
273740
284690
295640
306590
317540
328490</t>
    <phoneticPr fontId="7"/>
  </si>
  <si>
    <t>278470
288416
298362
328198</t>
    <phoneticPr fontId="7"/>
  </si>
  <si>
    <t>308104
319106
330110
363122</t>
    <phoneticPr fontId="7"/>
  </si>
  <si>
    <t>282374
292832
303290
313748
334666</t>
    <phoneticPr fontId="7"/>
  </si>
  <si>
    <t>312433
324004
335575
347148
370290</t>
    <phoneticPr fontId="7"/>
  </si>
  <si>
    <t>15
17
20
21
22
23
24
25
27
28</t>
    <phoneticPr fontId="7"/>
  </si>
  <si>
    <t>95371
108087
127162
133519
139878
146235
152594
158951
171669
178026</t>
    <phoneticPr fontId="7"/>
  </si>
  <si>
    <t>102590
116268
136788
143626
150466
157306
164144
170984
184662
191502</t>
    <phoneticPr fontId="7"/>
  </si>
  <si>
    <t>20(↑進化前+3)+16+18</t>
    <rPh sb="4" eb="6">
      <t>シンカ</t>
    </rPh>
    <rPh sb="6" eb="7">
      <t>マエ</t>
    </rPh>
    <phoneticPr fontId="7"/>
  </si>
  <si>
    <t>295662
306220
316780
348458</t>
    <phoneticPr fontId="7"/>
  </si>
  <si>
    <t>267196
276738
286280
314908</t>
    <phoneticPr fontId="7"/>
  </si>
  <si>
    <t>24
27
28
29
30
31</t>
    <phoneticPr fontId="7"/>
  </si>
  <si>
    <t>305862
344095
356840
369585
382328
395073</t>
    <phoneticPr fontId="7"/>
  </si>
  <si>
    <t>250236
281517
291942
302369
312796
323223</t>
    <phoneticPr fontId="7"/>
  </si>
  <si>
    <t>15
18
19
20
22
23
24
25
26
27
28
29</t>
    <phoneticPr fontId="7"/>
  </si>
  <si>
    <t>82212
98654
104134
109616
120576
126058
131538
137020
142500
147980
153462
158942</t>
    <phoneticPr fontId="7"/>
  </si>
  <si>
    <t>87780
105336
111188
117040
128744
134596
140448
146300
152152
158004
163856
169708</t>
    <phoneticPr fontId="7"/>
  </si>
  <si>
    <t>15
22
23
24
25
26
27
28
29</t>
    <phoneticPr fontId="7"/>
  </si>
  <si>
    <t>180796
265168
277220
289274
301326
313380
325434
337486
349540</t>
    <phoneticPr fontId="7"/>
  </si>
  <si>
    <t>163420
239682
250576
261472
272366
283260
294156
305050
315944</t>
    <phoneticPr fontId="7"/>
  </si>
  <si>
    <t>20
24
26
27
28
29
31</t>
    <phoneticPr fontId="7"/>
  </si>
  <si>
    <t>243418
292102
316442
328614
340784
352956
377298</t>
    <phoneticPr fontId="7"/>
  </si>
  <si>
    <t>219998
263998
285998
296998
307998
318998
340998</t>
    <phoneticPr fontId="7"/>
  </si>
  <si>
    <t>157198
209596
230556
241036
251516
261996
272476
282956
293436</t>
    <phoneticPr fontId="7"/>
  </si>
  <si>
    <t>173933
231912
255104
266699
278294
289889
301486
313081
324676</t>
    <phoneticPr fontId="7"/>
  </si>
  <si>
    <t>15
18
20
21
22
23
24
25
26
27
28
29
30</t>
    <phoneticPr fontId="7"/>
  </si>
  <si>
    <t>83712
100454
111616
117196
122776
128358
133938
139520
145100
150680
156262
161842
167424</t>
    <phoneticPr fontId="7"/>
  </si>
  <si>
    <t>94236
113082
125648
131930
138212
144494
150776
157060
163342
169624
175906
182188
188472</t>
    <phoneticPr fontId="7"/>
  </si>
  <si>
    <t>15
18
20
21
22
23
24
25
26
27
28</t>
    <phoneticPr fontId="7"/>
  </si>
  <si>
    <t>113525
136230
151368
158935
166504
174073
181640
189209
196778
204345
211914</t>
    <phoneticPr fontId="7"/>
  </si>
  <si>
    <t>105545
126654
140728
147765
154800
161837
168874
175911
182946
189983
197020</t>
    <phoneticPr fontId="7"/>
  </si>
  <si>
    <t>タイプ伝承・武人・姫の攻90％UP</t>
    <phoneticPr fontId="7"/>
  </si>
  <si>
    <t>不思議の国のハロウィン</t>
    <phoneticPr fontId="7"/>
  </si>
  <si>
    <t>はろうぃんれっしゃありす</t>
    <phoneticPr fontId="7"/>
  </si>
  <si>
    <t>【ハロウィン列車】アリス</t>
    <phoneticPr fontId="7"/>
  </si>
  <si>
    <t>はですありす</t>
    <phoneticPr fontId="7"/>
  </si>
  <si>
    <t>【ハデス】アリス</t>
    <phoneticPr fontId="7"/>
  </si>
  <si>
    <t>タイプ神秘・知性派・飲食の攻90％UP</t>
    <phoneticPr fontId="7"/>
  </si>
  <si>
    <t>死者の国のアリス</t>
    <phoneticPr fontId="7"/>
  </si>
  <si>
    <t>タイプ偉人・妖怪・名物の攻90％UP</t>
    <phoneticPr fontId="7"/>
  </si>
  <si>
    <t>奇想天外な冒険企業家</t>
    <phoneticPr fontId="7"/>
  </si>
  <si>
    <t>しーいーおーありす</t>
    <phoneticPr fontId="7"/>
  </si>
  <si>
    <t>【CEO】アリス</t>
    <phoneticPr fontId="7"/>
  </si>
  <si>
    <t>【祝宴】清姫</t>
    <phoneticPr fontId="7"/>
  </si>
  <si>
    <t>しゅくえんきよひめ</t>
    <phoneticPr fontId="7"/>
  </si>
  <si>
    <t>タイプ伝承・武人・姫の防90％UP</t>
    <phoneticPr fontId="7"/>
  </si>
  <si>
    <t>鐘の音響く涙の式辞</t>
    <phoneticPr fontId="7"/>
  </si>
  <si>
    <t>タイプ神秘・知性派・飲食の防90％UP</t>
    <phoneticPr fontId="7"/>
  </si>
  <si>
    <t>熱く燃える美貌の売り子</t>
    <phoneticPr fontId="7"/>
  </si>
  <si>
    <t>びーるうりこきよひめ</t>
    <phoneticPr fontId="7"/>
  </si>
  <si>
    <t>【ビール売り子】清姫</t>
    <phoneticPr fontId="7"/>
  </si>
  <si>
    <t>タイプ偉人・妖怪・名物の防90％UP</t>
    <phoneticPr fontId="7"/>
  </si>
  <si>
    <t>恋に焼かれた執念の秘薬</t>
    <phoneticPr fontId="7"/>
  </si>
  <si>
    <t>まじょのやしききよひめ</t>
    <phoneticPr fontId="7"/>
  </si>
  <si>
    <t>【魔女の屋敷】清姫</t>
    <phoneticPr fontId="7"/>
  </si>
  <si>
    <t>29
30
34</t>
    <phoneticPr fontId="7"/>
  </si>
  <si>
    <t>311059
321786
364692</t>
    <phoneticPr fontId="7"/>
  </si>
  <si>
    <t>281149
290844
329622</t>
    <phoneticPr fontId="7"/>
  </si>
  <si>
    <t>15
19
21
22
23
24
25
26
27
30</t>
    <phoneticPr fontId="7"/>
  </si>
  <si>
    <t>87780
111188
122892
128744
134596
140448
146300
152152
158004
175560</t>
    <phoneticPr fontId="7"/>
  </si>
  <si>
    <t>82212
104134
115096
120576
126058
131538
137020
142500
147980
164424</t>
    <phoneticPr fontId="7"/>
  </si>
  <si>
    <t>30
35</t>
    <phoneticPr fontId="7"/>
  </si>
  <si>
    <t>278622
325057</t>
    <phoneticPr fontId="7"/>
  </si>
  <si>
    <t>308246
359621</t>
    <phoneticPr fontId="7"/>
  </si>
  <si>
    <t>15
17
19
20
21
22
23
24
25
27</t>
    <phoneticPr fontId="7"/>
  </si>
  <si>
    <t>83712
94872
106034
111616
117196
128358
122776
133938
139520
150680</t>
    <phoneticPr fontId="7"/>
  </si>
  <si>
    <t>94236
106800
119364
125648
131930
138212
144494
150776
157060
169624</t>
    <phoneticPr fontId="7"/>
  </si>
  <si>
    <t>15
18
20
21
22
23
24
25
26
27
29</t>
    <phoneticPr fontId="7"/>
  </si>
  <si>
    <t>94236
113082
125648
131930
138212
144494
150776
157060
163342
169624
182188</t>
    <phoneticPr fontId="7"/>
  </si>
  <si>
    <t>83712
100454
111616
117196
122776
128358
133938
139520
145100
150680
161842</t>
    <phoneticPr fontId="7"/>
  </si>
  <si>
    <t>263998
296998
307998
318998
329998
340998</t>
    <phoneticPr fontId="7"/>
  </si>
  <si>
    <t>292102
328614
340784
352956
365126
377298</t>
    <phoneticPr fontId="7"/>
  </si>
  <si>
    <t>140016
186688
196022
205358
214692
224026
233360
242696
252030</t>
    <phoneticPr fontId="7"/>
  </si>
  <si>
    <t>130194
173592
182272
190952
199630
208310
216990
225670
234350</t>
    <phoneticPr fontId="7"/>
  </si>
  <si>
    <t>93450
105910
112140
124600
130830
137060
143290
149520
155750
161980
168210</t>
    <phoneticPr fontId="7"/>
  </si>
  <si>
    <t>100502
113904
120604
134004
140704
147404
154104
160804
167506
174206
180906</t>
    <phoneticPr fontId="7"/>
  </si>
  <si>
    <t>276738
286280
324452</t>
    <phoneticPr fontId="7"/>
  </si>
  <si>
    <t>306220
316780
359018</t>
    <phoneticPr fontId="7"/>
  </si>
  <si>
    <t>15
21
22
23
24
25
26
27
29
30</t>
    <phoneticPr fontId="7"/>
  </si>
  <si>
    <t>87780
122892
128744
134596
140448
146300
152152
158004
169708
175560</t>
    <phoneticPr fontId="7"/>
  </si>
  <si>
    <t>82212
115096
120576
126058
131538
137020
142500
147980
158942
164424</t>
    <phoneticPr fontId="7"/>
  </si>
  <si>
    <t>21(↑進化前+3)+竜+14</t>
    <rPh sb="4" eb="6">
      <t>シンカ</t>
    </rPh>
    <rPh sb="6" eb="7">
      <t>マエ</t>
    </rPh>
    <rPh sb="11" eb="12">
      <t>リュウ</t>
    </rPh>
    <phoneticPr fontId="7"/>
  </si>
  <si>
    <t>【マフィア】北海道牛乳ちゃん</t>
    <phoneticPr fontId="7"/>
  </si>
  <si>
    <t>まふぃあほっかいどうぎゅうにゅうちゃん</t>
    <phoneticPr fontId="7"/>
  </si>
  <si>
    <t>闇の世界に広がる牛乳</t>
    <phoneticPr fontId="7"/>
  </si>
  <si>
    <t>【戦闘メイド】北海道牛乳ちゃん</t>
    <phoneticPr fontId="7"/>
  </si>
  <si>
    <t>せんとうめいどほっかいどうぎゅうにゅうちゃん</t>
    <phoneticPr fontId="7"/>
  </si>
  <si>
    <t>ミルキーランサー</t>
    <phoneticPr fontId="7"/>
  </si>
  <si>
    <t>風呂上がりに最高の一杯</t>
    <phoneticPr fontId="7"/>
  </si>
  <si>
    <t>おんせんほっかいどうぎゅうにゅうちゃん</t>
    <phoneticPr fontId="7"/>
  </si>
  <si>
    <t>【温泉】北海道牛乳ちゃん</t>
    <phoneticPr fontId="7"/>
  </si>
  <si>
    <t>325712
336944
381870</t>
    <phoneticPr fontId="7"/>
  </si>
  <si>
    <t>266496
275684
312442</t>
    <phoneticPr fontId="7"/>
  </si>
  <si>
    <t>20
26
27
28
29
30</t>
    <phoneticPr fontId="7"/>
  </si>
  <si>
    <t>260538
338700
351727
364754
377781
390808</t>
    <phoneticPr fontId="7"/>
  </si>
  <si>
    <t>235462
306100
317873
329646
341419
353192</t>
    <phoneticPr fontId="7"/>
  </si>
  <si>
    <t>15
17
18
19
20
21
22
23
24
25
26
27
28</t>
    <phoneticPr fontId="7"/>
  </si>
  <si>
    <t>115249
130615
138300
145983
153666
161349
169032
176717
184400
192083
199766
207449
215134</t>
    <phoneticPr fontId="7"/>
  </si>
  <si>
    <t>107146
121434
128576
135720
142864
150006
157150
164292
171436
178578
185722
192866
200008</t>
    <phoneticPr fontId="7"/>
  </si>
  <si>
    <t>15
20
21
22
23
24
25
26
27
28
29
30</t>
    <phoneticPr fontId="7"/>
  </si>
  <si>
    <t>94236
125648
131930
138212
144494
150776
157060
163342
169624
175906
182188
188472</t>
    <phoneticPr fontId="7"/>
  </si>
  <si>
    <t>83712
111616
117196
122776
128358
133938
139520
145100
150680
156262
161842
167424</t>
    <phoneticPr fontId="7"/>
  </si>
  <si>
    <t>15
20
21
22
23
24
25
26
27
30</t>
    <phoneticPr fontId="7"/>
  </si>
  <si>
    <t>82212
109616
115096
120576
126058
131538
137020
142500
147980
164424</t>
    <phoneticPr fontId="7"/>
  </si>
  <si>
    <t>87780
117040
122892
128744
134596
140448
146300
152152
158004
175560</t>
    <phoneticPr fontId="7"/>
  </si>
  <si>
    <t>264098
308114</t>
    <phoneticPr fontId="7"/>
  </si>
  <si>
    <t>322770
376566</t>
    <phoneticPr fontId="7"/>
  </si>
  <si>
    <t>15
17
20
21
23
24
25
26
27</t>
    <phoneticPr fontId="7"/>
  </si>
  <si>
    <t>100502
113904
134004
140704
154104
160804
167506
174206
180906</t>
    <phoneticPr fontId="7"/>
  </si>
  <si>
    <t>93450
105910
124600
130830
143290
149520
155750
161980
168210</t>
    <phoneticPr fontId="7"/>
  </si>
  <si>
    <t>15
20
22
23
24
25
26
27
28
29</t>
    <phoneticPr fontId="7"/>
  </si>
  <si>
    <t>150366
200488
220536
230560
240586
250610
260634
270658
280684
290708</t>
    <phoneticPr fontId="7"/>
  </si>
  <si>
    <t>166369
221826
244008
255101
266192
277283
288374
299465
310558
321649</t>
    <phoneticPr fontId="7"/>
  </si>
  <si>
    <t>15
22
24
25
26
27
28
29
30</t>
    <phoneticPr fontId="7"/>
  </si>
  <si>
    <t>197707
289970
316330
329511
342692
355871
369052
382233
395414</t>
    <phoneticPr fontId="7"/>
  </si>
  <si>
    <t>178681
262064
285888
297801
309714
321625
333538
345449
357362</t>
    <phoneticPr fontId="7"/>
  </si>
  <si>
    <t>15
17
19
20
21
22
24
25
26
27
29</t>
    <phoneticPr fontId="7"/>
  </si>
  <si>
    <t>107146
121434
135720
142864
150006
157150
171436
178578
185722
192866
207152</t>
    <phoneticPr fontId="7"/>
  </si>
  <si>
    <t>115249
130615
145983
153666
161349
169032
184400
192083
199766
207449
222817</t>
    <phoneticPr fontId="7"/>
  </si>
  <si>
    <t>15
24
25
26
27
28
29
30</t>
    <phoneticPr fontId="7"/>
  </si>
  <si>
    <t>191727
306766
319547
332328
345111
357892
370675
383456</t>
    <phoneticPr fontId="7"/>
  </si>
  <si>
    <t>173287
277258
288811
300364
311915
323468
335021
346574</t>
    <phoneticPr fontId="7"/>
  </si>
  <si>
    <t>15
19
21
22
23
24
25
26
27
29</t>
    <phoneticPr fontId="7"/>
  </si>
  <si>
    <t>178507
226111
249911
261812
273713
285614
297513
309414
321315
345117</t>
    <phoneticPr fontId="7"/>
  </si>
  <si>
    <t>165953
210207
232335
243398
254461
265526
276589
287652
298717
320843</t>
    <phoneticPr fontId="7"/>
  </si>
  <si>
    <t>15
18
21
22
23
24
25
26
27
30</t>
    <phoneticPr fontId="7"/>
  </si>
  <si>
    <t>82212
98654
115096
120576
126058
131538
137020
142500
147980
164424</t>
    <phoneticPr fontId="7"/>
  </si>
  <si>
    <t>87780
105336
122892
128744
134596
140448
146300
152152
158004
175560</t>
    <phoneticPr fontId="7"/>
  </si>
  <si>
    <t>18,</t>
    <phoneticPr fontId="7"/>
  </si>
  <si>
    <t>15
17
19
20
22
23
24
26
27</t>
    <phoneticPr fontId="7"/>
  </si>
  <si>
    <t>94236
106800
119364
125648
138212
144494
150776
163342
169624</t>
    <phoneticPr fontId="7"/>
  </si>
  <si>
    <t>83712
94872
106034
111616
122776
128358
133938
145100
150680</t>
    <phoneticPr fontId="7"/>
  </si>
  <si>
    <t>【ビキニXmas】甲斐姫</t>
    <phoneticPr fontId="7"/>
  </si>
  <si>
    <t>砂漠に咲く美姫</t>
    <phoneticPr fontId="7"/>
  </si>
  <si>
    <t>歌姫降臨</t>
    <phoneticPr fontId="7"/>
  </si>
  <si>
    <t>胸躍るクリスマスナイト</t>
    <phoneticPr fontId="7"/>
  </si>
  <si>
    <t>びきにくりすますかいひめ</t>
    <phoneticPr fontId="7"/>
  </si>
  <si>
    <t>すとりーとみゅーじしゃんかいひめ</t>
    <phoneticPr fontId="7"/>
  </si>
  <si>
    <t>くれおぱとらかいひめ</t>
    <phoneticPr fontId="7"/>
  </si>
  <si>
    <t>【ストリートミュージシャン】甲斐姫</t>
    <phoneticPr fontId="7"/>
  </si>
  <si>
    <t>【クレオパトラ】甲斐姫</t>
    <phoneticPr fontId="7"/>
  </si>
  <si>
    <t>25(↑進化前+3),21</t>
    <phoneticPr fontId="7"/>
  </si>
  <si>
    <t>【新春万福】富士山</t>
    <phoneticPr fontId="7"/>
  </si>
  <si>
    <t>しんしゅんばんぷくふじさん</t>
    <phoneticPr fontId="7"/>
  </si>
  <si>
    <t>【月の兎】富士山</t>
    <phoneticPr fontId="7"/>
  </si>
  <si>
    <t>つきのうさぎふじさん</t>
    <phoneticPr fontId="7"/>
  </si>
  <si>
    <t>【イシュタル】富士山</t>
    <phoneticPr fontId="7"/>
  </si>
  <si>
    <t>いしゅたるふじさん</t>
    <phoneticPr fontId="7"/>
  </si>
  <si>
    <t>幸せな祝い酒</t>
    <phoneticPr fontId="7"/>
  </si>
  <si>
    <t>タイプ偉人・妖怪・名物の防95％UP</t>
    <phoneticPr fontId="7"/>
  </si>
  <si>
    <t>最果ての景色</t>
    <phoneticPr fontId="7"/>
  </si>
  <si>
    <t>タイプ伝承・武人・姫の防95％UP</t>
    <phoneticPr fontId="7"/>
  </si>
  <si>
    <t>女神の器</t>
    <phoneticPr fontId="7"/>
  </si>
  <si>
    <t>タイプ神秘・知性派・飲食の防95％UP</t>
    <phoneticPr fontId="7"/>
  </si>
  <si>
    <t>【節分祭】もみじまんじゅうちゃん</t>
    <phoneticPr fontId="7"/>
  </si>
  <si>
    <t>せつぶんさいもみじまんじゅうちゃん</t>
    <phoneticPr fontId="7"/>
  </si>
  <si>
    <t>【ガンマン】もみじまんじゅうちゃん</t>
    <phoneticPr fontId="7"/>
  </si>
  <si>
    <t>がんまんもみじまんじゅうちゃん</t>
    <phoneticPr fontId="7"/>
  </si>
  <si>
    <t>【西洋王妃】もみじまんじゅうちゃん</t>
    <phoneticPr fontId="7"/>
  </si>
  <si>
    <t>せいようおうひもみじまんじゅうちゃん</t>
    <phoneticPr fontId="7"/>
  </si>
  <si>
    <t>困惑の紅葉鬼</t>
    <phoneticPr fontId="7"/>
  </si>
  <si>
    <t>タイプ神秘・知性派・飲食の攻95％UP</t>
    <phoneticPr fontId="7"/>
  </si>
  <si>
    <t>紅のガンウーマン</t>
    <phoneticPr fontId="7"/>
  </si>
  <si>
    <t>タイプ伝承・武人・姫の攻95％UP</t>
    <phoneticPr fontId="7"/>
  </si>
  <si>
    <t>麗しの紅葉婦人</t>
    <phoneticPr fontId="7"/>
  </si>
  <si>
    <t>タイプ偉人・妖怪・名物の攻95％UP</t>
    <phoneticPr fontId="7"/>
  </si>
  <si>
    <t>備考</t>
    <rPh sb="0" eb="2">
      <t>ビコウ</t>
    </rPh>
    <phoneticPr fontId="7"/>
  </si>
  <si>
    <t>兵糧越光</t>
    <phoneticPr fontId="7"/>
  </si>
  <si>
    <t>輝夜月姫</t>
    <phoneticPr fontId="7"/>
  </si>
  <si>
    <t>合戦矢乙女</t>
    <phoneticPr fontId="7"/>
  </si>
  <si>
    <t>聖夜の贈り物</t>
    <phoneticPr fontId="7"/>
  </si>
  <si>
    <t>恋神ノ誘惑</t>
    <phoneticPr fontId="7"/>
  </si>
  <si>
    <t>麗天ノ強撃</t>
    <phoneticPr fontId="7"/>
  </si>
  <si>
    <t>加護・聖母の愛</t>
    <phoneticPr fontId="7"/>
  </si>
  <si>
    <t>導きの音色</t>
    <phoneticPr fontId="7"/>
  </si>
  <si>
    <t>天照ノ光</t>
    <phoneticPr fontId="7"/>
  </si>
  <si>
    <t>降雪舞踊</t>
    <phoneticPr fontId="7"/>
  </si>
  <si>
    <t>全軍躍動</t>
    <phoneticPr fontId="7"/>
  </si>
  <si>
    <t>潜水刻々</t>
    <phoneticPr fontId="7"/>
  </si>
  <si>
    <t>妖艶奪気</t>
    <phoneticPr fontId="7"/>
  </si>
  <si>
    <t>攻癒ノ書</t>
    <phoneticPr fontId="7"/>
  </si>
  <si>
    <t>仁義賢士</t>
    <phoneticPr fontId="7"/>
  </si>
  <si>
    <t>才色兼備の神技</t>
    <phoneticPr fontId="7"/>
  </si>
  <si>
    <t>絶対砲火</t>
    <phoneticPr fontId="7"/>
  </si>
  <si>
    <t>天下無双の覇気</t>
    <phoneticPr fontId="7"/>
  </si>
  <si>
    <t>常世ノ理想郷</t>
    <phoneticPr fontId="7"/>
  </si>
  <si>
    <t>荒海飛鴎</t>
    <phoneticPr fontId="7"/>
  </si>
  <si>
    <t>鬼道双陣</t>
    <phoneticPr fontId="7"/>
  </si>
  <si>
    <t>手打ノ匠技</t>
    <phoneticPr fontId="7"/>
  </si>
  <si>
    <t>怨讐ノ鋏</t>
    <phoneticPr fontId="7"/>
  </si>
  <si>
    <t>色褪せぬ恐怖</t>
    <phoneticPr fontId="7"/>
  </si>
  <si>
    <t>紅影の一刺し</t>
    <phoneticPr fontId="7"/>
  </si>
  <si>
    <t>白芳賛美</t>
    <phoneticPr fontId="7"/>
  </si>
  <si>
    <t>先駆乙女</t>
    <phoneticPr fontId="7"/>
  </si>
  <si>
    <t>清祓ノ渦潮</t>
    <phoneticPr fontId="7"/>
  </si>
  <si>
    <t>奮激の極意</t>
    <phoneticPr fontId="7"/>
  </si>
  <si>
    <t>護穀豊穣</t>
    <phoneticPr fontId="7"/>
  </si>
  <si>
    <t>朔夜ノ燈火</t>
    <phoneticPr fontId="7"/>
  </si>
  <si>
    <t>神震の雷歌</t>
    <phoneticPr fontId="7"/>
  </si>
  <si>
    <t>百花水放</t>
    <phoneticPr fontId="7"/>
  </si>
  <si>
    <t>灼熱日暈</t>
    <phoneticPr fontId="7"/>
  </si>
  <si>
    <t>陽炎華火</t>
    <phoneticPr fontId="7"/>
  </si>
  <si>
    <t>清蛇ノ祝鐘</t>
    <phoneticPr fontId="7"/>
  </si>
  <si>
    <t>ワンダーゲート</t>
    <phoneticPr fontId="7"/>
  </si>
  <si>
    <t>ミルクスタンド</t>
    <phoneticPr fontId="7"/>
  </si>
  <si>
    <t>聖贈紅蓮</t>
    <phoneticPr fontId="7"/>
  </si>
  <si>
    <t>富嶽来光</t>
    <phoneticPr fontId="7"/>
  </si>
  <si>
    <t>ぶち鬼アゲ♡</t>
    <phoneticPr fontId="7"/>
  </si>
  <si>
    <t>黒紫の花びら</t>
    <phoneticPr fontId="7"/>
  </si>
  <si>
    <t>化け猫の歌詠</t>
    <phoneticPr fontId="7"/>
  </si>
  <si>
    <t>葵神紋</t>
    <phoneticPr fontId="7"/>
  </si>
  <si>
    <t>琵琶霊弓</t>
    <phoneticPr fontId="7"/>
  </si>
  <si>
    <t>かぼ♡チャージ</t>
    <phoneticPr fontId="7"/>
  </si>
  <si>
    <t>マリアの祈り</t>
    <phoneticPr fontId="7"/>
  </si>
  <si>
    <t>雷門弓手招き</t>
    <phoneticPr fontId="7"/>
  </si>
  <si>
    <t>天草先陣</t>
    <phoneticPr fontId="7"/>
  </si>
  <si>
    <t>霞雷鳥</t>
    <phoneticPr fontId="7"/>
  </si>
  <si>
    <t>酒呑山門</t>
    <phoneticPr fontId="7"/>
  </si>
  <si>
    <t>仙桃丹</t>
    <phoneticPr fontId="7"/>
  </si>
  <si>
    <t>二天一流</t>
    <phoneticPr fontId="7"/>
  </si>
  <si>
    <t>籠城仕掛け櫓</t>
    <phoneticPr fontId="7"/>
  </si>
  <si>
    <t>水神之息吹</t>
    <phoneticPr fontId="7"/>
  </si>
  <si>
    <t>終ノ大将軍</t>
    <phoneticPr fontId="7"/>
  </si>
  <si>
    <t>鬼刃七変化</t>
    <phoneticPr fontId="7"/>
  </si>
  <si>
    <t>藤ノ独楽衝</t>
    <phoneticPr fontId="7"/>
  </si>
  <si>
    <t>三神覚醒</t>
    <phoneticPr fontId="7"/>
  </si>
  <si>
    <t>破邪征伐刃</t>
    <phoneticPr fontId="7"/>
  </si>
  <si>
    <t>狂い吹雪</t>
    <phoneticPr fontId="7"/>
  </si>
  <si>
    <t>夢想ノ歌</t>
    <phoneticPr fontId="7"/>
  </si>
  <si>
    <t>十勇士推参</t>
    <phoneticPr fontId="7"/>
  </si>
  <si>
    <t>渦巻く蓬莱</t>
    <phoneticPr fontId="7"/>
  </si>
  <si>
    <t>落花流水</t>
    <phoneticPr fontId="7"/>
  </si>
  <si>
    <t>刑部神通力</t>
    <phoneticPr fontId="7"/>
  </si>
  <si>
    <t>餅搗月兎</t>
    <phoneticPr fontId="7"/>
  </si>
  <si>
    <t>19,</t>
    <phoneticPr fontId="7"/>
  </si>
  <si>
    <t>【アイドルライブ】茶々</t>
    <phoneticPr fontId="7"/>
  </si>
  <si>
    <t>あいどるらいぶちゃちゃ</t>
    <phoneticPr fontId="7"/>
  </si>
  <si>
    <t>【シスターヴァンパイア】茶々</t>
    <phoneticPr fontId="7"/>
  </si>
  <si>
    <t>しすたーばんぱいあちゃちゃ</t>
    <phoneticPr fontId="7"/>
  </si>
  <si>
    <t>【ツクヨミ】茶々</t>
    <phoneticPr fontId="7"/>
  </si>
  <si>
    <t>つくよみちゃちゃ</t>
    <phoneticPr fontId="7"/>
  </si>
  <si>
    <t>スターライトステージ</t>
    <phoneticPr fontId="7"/>
  </si>
  <si>
    <t>絢爛舞踊</t>
    <phoneticPr fontId="7"/>
  </si>
  <si>
    <t>気高きシスターヴァンパイア</t>
    <phoneticPr fontId="7"/>
  </si>
  <si>
    <t>月夜の女神の癒やし</t>
    <phoneticPr fontId="7"/>
  </si>
  <si>
    <t>【機械仕掛け】どんぐりころころ</t>
    <phoneticPr fontId="7"/>
  </si>
  <si>
    <t>きかいじかけどんぐりころころ</t>
    <phoneticPr fontId="7"/>
  </si>
  <si>
    <t>飛空艇に響く旅歌</t>
    <phoneticPr fontId="7"/>
  </si>
  <si>
    <t>タイプ伝承・武人・姫の防100％UP</t>
    <phoneticPr fontId="7"/>
  </si>
  <si>
    <t>どんぐり高炉</t>
    <phoneticPr fontId="7"/>
  </si>
  <si>
    <t>【チーズケーキ】どんぐりころころ</t>
    <phoneticPr fontId="7"/>
  </si>
  <si>
    <t>ちーずけーきどんぐりころころ</t>
    <phoneticPr fontId="7"/>
  </si>
  <si>
    <t>舌で転がすケーキ三昧</t>
    <phoneticPr fontId="7"/>
  </si>
  <si>
    <t>タイプ神秘・知性派・飲食の防100％UP</t>
    <phoneticPr fontId="7"/>
  </si>
  <si>
    <t>海辺に転がる人魚姫</t>
    <phoneticPr fontId="7"/>
  </si>
  <si>
    <t>タイプ偉人・妖怪・名物の防100％UP</t>
    <phoneticPr fontId="7"/>
  </si>
  <si>
    <t>【人魚姫】どんぐりころころ</t>
    <phoneticPr fontId="7"/>
  </si>
  <si>
    <t>にんぎょひめどんぐりころころ</t>
    <phoneticPr fontId="7"/>
  </si>
  <si>
    <t>【桜吹雪】園部秀雄</t>
    <phoneticPr fontId="7"/>
  </si>
  <si>
    <t>さくらふぶきそのべひでお</t>
    <phoneticPr fontId="7"/>
  </si>
  <si>
    <t>美しく咲き散る桜花</t>
    <phoneticPr fontId="7"/>
  </si>
  <si>
    <t>無想山桜</t>
    <phoneticPr fontId="7"/>
  </si>
  <si>
    <t>【女医】園部秀雄</t>
    <phoneticPr fontId="7"/>
  </si>
  <si>
    <t>じょいそのべひでお</t>
    <phoneticPr fontId="7"/>
  </si>
  <si>
    <t>名医の武道家</t>
    <phoneticPr fontId="7"/>
  </si>
  <si>
    <t>ぼでぃこんそのべひでお</t>
    <phoneticPr fontId="7"/>
  </si>
  <si>
    <t>【ボディコン】園部秀雄</t>
    <phoneticPr fontId="7"/>
  </si>
  <si>
    <t>強く美しいダンシング・クイーン</t>
    <phoneticPr fontId="7"/>
  </si>
  <si>
    <t>20,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</si>
</sst>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m&quot;月&quot;;@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b/>
      <sz val="11"/>
      <color theme="0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color theme="1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34C33-B56A-4434-A8D3-2079FA17BCEB}">
  <dimension ref="A1:O140"/>
  <sheetViews>
    <sheetView tabSelected="1"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11" style="1" customWidth="1"/>
    <col min="2" max="2" width="7.5" style="1" customWidth="1"/>
    <col min="3" max="3" width="10.9140625" style="1" customWidth="1"/>
    <col min="4" max="4" width="6.75" style="1" customWidth="1"/>
    <col min="5" max="5" width="31.9140625" style="1" customWidth="1"/>
    <col min="6" max="6" width="3.75" style="7" customWidth="1"/>
    <col min="7" max="7" width="25.58203125" style="1" hidden="1" customWidth="1"/>
    <col min="8" max="9" width="17.9140625" style="5" hidden="1" customWidth="1"/>
    <col min="10" max="10" width="5.9140625" style="1" customWidth="1"/>
    <col min="11" max="12" width="8.9140625" style="1" customWidth="1"/>
    <col min="13" max="13" width="16.08203125" style="1" hidden="1" customWidth="1"/>
    <col min="14" max="14" width="72.5" style="1" customWidth="1"/>
    <col min="15" max="15" width="14.5" style="26" customWidth="1"/>
    <col min="16" max="16384" width="8.9140625" style="1"/>
  </cols>
  <sheetData>
    <row r="1" spans="1:15">
      <c r="A1" s="2" t="s">
        <v>511</v>
      </c>
      <c r="B1" s="2" t="s">
        <v>495</v>
      </c>
      <c r="C1" s="3" t="s">
        <v>0</v>
      </c>
      <c r="D1" s="2" t="s">
        <v>1</v>
      </c>
      <c r="E1" s="2" t="s">
        <v>2</v>
      </c>
      <c r="F1" s="2" t="s">
        <v>607</v>
      </c>
      <c r="G1" s="2" t="s">
        <v>494</v>
      </c>
      <c r="H1" s="2" t="s">
        <v>584</v>
      </c>
      <c r="I1" s="2" t="s">
        <v>585</v>
      </c>
      <c r="J1" s="2" t="s">
        <v>3</v>
      </c>
      <c r="K1" s="2" t="s">
        <v>243</v>
      </c>
      <c r="L1" s="2" t="s">
        <v>244</v>
      </c>
      <c r="M1" s="2" t="s">
        <v>4</v>
      </c>
      <c r="N1" s="2" t="s">
        <v>613</v>
      </c>
      <c r="O1" s="2" t="s">
        <v>1255</v>
      </c>
    </row>
    <row r="3" spans="1:15">
      <c r="A3" s="33" t="s">
        <v>1006</v>
      </c>
      <c r="B3" s="35">
        <v>55895</v>
      </c>
      <c r="C3" s="35" t="s">
        <v>179</v>
      </c>
      <c r="D3" s="8" t="s">
        <v>15</v>
      </c>
      <c r="E3" s="9" t="s">
        <v>694</v>
      </c>
      <c r="F3" s="4" t="str">
        <f>HYPERLINK("https://stat100.ameba.jp/tnk47/ratio20/illustrations/card/ill_55895_0_yonshunentenkurorusutazukansha05.jpg", "■")</f>
        <v>■</v>
      </c>
      <c r="G3" s="1" t="s">
        <v>181</v>
      </c>
      <c r="H3" s="35"/>
      <c r="I3" s="35"/>
      <c r="J3" s="37">
        <v>11</v>
      </c>
      <c r="K3" s="37">
        <v>40096</v>
      </c>
      <c r="L3" s="37">
        <v>37254</v>
      </c>
      <c r="M3" s="1" t="s">
        <v>180</v>
      </c>
      <c r="N3" s="1" t="s">
        <v>554</v>
      </c>
      <c r="O3" s="35"/>
    </row>
    <row r="4" spans="1:15">
      <c r="A4" s="34"/>
      <c r="B4" s="35"/>
      <c r="C4" s="35"/>
      <c r="D4" s="8" t="s">
        <v>31</v>
      </c>
      <c r="E4" s="9" t="s">
        <v>608</v>
      </c>
      <c r="F4" s="4" t="str">
        <f>HYPERLINK("https://stat100.ameba.jp/tnk47/ratio20/illustrations/card/ill_55895_1_yonshunentenkurorusutazukansha05.jpg", "■")</f>
        <v>■</v>
      </c>
      <c r="G4" s="1" t="s">
        <v>181</v>
      </c>
      <c r="H4" s="35"/>
      <c r="I4" s="35"/>
      <c r="J4" s="37"/>
      <c r="K4" s="37"/>
      <c r="L4" s="37"/>
      <c r="M4" s="1" t="s">
        <v>180</v>
      </c>
      <c r="N4" s="1" t="s">
        <v>555</v>
      </c>
      <c r="O4" s="35"/>
    </row>
    <row r="5" spans="1:15">
      <c r="A5" s="34"/>
      <c r="B5" s="35"/>
      <c r="C5" s="35"/>
      <c r="D5" s="8" t="s">
        <v>24</v>
      </c>
      <c r="E5" s="9" t="s">
        <v>608</v>
      </c>
      <c r="F5" s="4" t="str">
        <f>HYPERLINK("https://stat100.ameba.jp/tnk47/ratio20/illustrations/card/ill_55895_2_yonshunentenkurorusutazukansha05.jpg", "■")</f>
        <v>■</v>
      </c>
      <c r="G5" s="1" t="s">
        <v>181</v>
      </c>
      <c r="H5" s="35"/>
      <c r="I5" s="35"/>
      <c r="J5" s="37"/>
      <c r="K5" s="37"/>
      <c r="L5" s="37"/>
      <c r="M5" s="1" t="s">
        <v>180</v>
      </c>
      <c r="N5" s="1" t="s">
        <v>556</v>
      </c>
      <c r="O5" s="35"/>
    </row>
    <row r="6" spans="1:15">
      <c r="A6" s="33">
        <v>43313</v>
      </c>
      <c r="B6" s="35">
        <v>74593</v>
      </c>
      <c r="C6" s="35" t="s">
        <v>179</v>
      </c>
      <c r="D6" s="8" t="s">
        <v>15</v>
      </c>
      <c r="E6" s="9" t="s">
        <v>634</v>
      </c>
      <c r="F6" s="4" t="str">
        <f>HYPERLINK("https://stat100.ameba.jp/tnk47/ratio20/illustrations/card/ill_74593_0_natsuyuenchikoshihikari03.jpg", "■")</f>
        <v>■</v>
      </c>
      <c r="G6" s="1" t="s">
        <v>396</v>
      </c>
      <c r="H6" s="35"/>
      <c r="I6" s="35" t="s">
        <v>1170</v>
      </c>
      <c r="J6" s="36" t="s">
        <v>1007</v>
      </c>
      <c r="K6" s="36" t="s">
        <v>1008</v>
      </c>
      <c r="L6" s="36" t="s">
        <v>1009</v>
      </c>
      <c r="M6" s="1" t="s">
        <v>397</v>
      </c>
      <c r="N6" s="1" t="s">
        <v>398</v>
      </c>
      <c r="O6" s="35" t="s">
        <v>1256</v>
      </c>
    </row>
    <row r="7" spans="1:15">
      <c r="A7" s="34"/>
      <c r="B7" s="35"/>
      <c r="C7" s="35"/>
      <c r="D7" s="8" t="s">
        <v>394</v>
      </c>
      <c r="E7" s="9" t="s">
        <v>638</v>
      </c>
      <c r="F7" s="4" t="str">
        <f>HYPERLINK("https://stat100.ameba.jp/tnk47/ratio20/illustrations/card/ill_74593_1_natsuyuenchikoshihikari03.jpg", "■")</f>
        <v>■</v>
      </c>
      <c r="G7" s="1" t="s">
        <v>399</v>
      </c>
      <c r="H7" s="35"/>
      <c r="I7" s="35"/>
      <c r="J7" s="37"/>
      <c r="K7" s="37"/>
      <c r="L7" s="37"/>
      <c r="M7" s="1" t="s">
        <v>400</v>
      </c>
      <c r="N7" s="1" t="s">
        <v>401</v>
      </c>
      <c r="O7" s="35"/>
    </row>
    <row r="8" spans="1:15">
      <c r="A8" s="34"/>
      <c r="B8" s="35"/>
      <c r="C8" s="35"/>
      <c r="D8" s="8" t="s">
        <v>395</v>
      </c>
      <c r="E8" s="9" t="s">
        <v>639</v>
      </c>
      <c r="F8" s="4" t="str">
        <f>HYPERLINK("https://stat100.ameba.jp/tnk47/ratio20/illustrations/card/ill_74593_2_natsuyuenchikoshihikari03.jpg", "■")</f>
        <v>■</v>
      </c>
      <c r="G8" s="1" t="s">
        <v>402</v>
      </c>
      <c r="H8" s="35"/>
      <c r="I8" s="35"/>
      <c r="J8" s="37"/>
      <c r="K8" s="37"/>
      <c r="L8" s="37"/>
      <c r="M8" s="1" t="s">
        <v>403</v>
      </c>
      <c r="N8" s="1" t="s">
        <v>404</v>
      </c>
      <c r="O8" s="35"/>
    </row>
    <row r="9" spans="1:15">
      <c r="A9" s="33">
        <v>43374</v>
      </c>
      <c r="B9" s="35">
        <v>76303</v>
      </c>
      <c r="C9" s="35" t="s">
        <v>179</v>
      </c>
      <c r="D9" s="8" t="s">
        <v>31</v>
      </c>
      <c r="E9" s="9" t="s">
        <v>640</v>
      </c>
      <c r="F9" s="4" t="str">
        <f>HYPERLINK("https://stat100.ameba.jp/tnk47/ratio20/illustrations/card/ill_76303_0_haroinkaguya03.jpg", "■")</f>
        <v>■</v>
      </c>
      <c r="G9" s="1" t="s">
        <v>275</v>
      </c>
      <c r="H9" s="35"/>
      <c r="I9" s="35"/>
      <c r="J9" s="36" t="s">
        <v>1211</v>
      </c>
      <c r="K9" s="36" t="s">
        <v>1212</v>
      </c>
      <c r="L9" s="36" t="s">
        <v>1213</v>
      </c>
      <c r="M9" s="1" t="s">
        <v>276</v>
      </c>
      <c r="N9" s="1" t="s">
        <v>277</v>
      </c>
      <c r="O9" s="35" t="s">
        <v>1257</v>
      </c>
    </row>
    <row r="10" spans="1:15">
      <c r="A10" s="34"/>
      <c r="B10" s="35"/>
      <c r="C10" s="35"/>
      <c r="D10" s="8" t="s">
        <v>62</v>
      </c>
      <c r="E10" s="9" t="s">
        <v>641</v>
      </c>
      <c r="F10" s="4" t="str">
        <f>HYPERLINK("https://stat100.ameba.jp/tnk47/ratio20/illustrations/card/ill_76303_1_haroinkaguya03.jpg", "■")</f>
        <v>■</v>
      </c>
      <c r="G10" s="1" t="s">
        <v>278</v>
      </c>
      <c r="H10" s="35"/>
      <c r="I10" s="35"/>
      <c r="J10" s="37"/>
      <c r="K10" s="37"/>
      <c r="L10" s="37"/>
      <c r="M10" s="1" t="s">
        <v>279</v>
      </c>
      <c r="N10" s="1" t="s">
        <v>280</v>
      </c>
      <c r="O10" s="35"/>
    </row>
    <row r="11" spans="1:15">
      <c r="A11" s="34"/>
      <c r="B11" s="35"/>
      <c r="C11" s="35"/>
      <c r="D11" s="8" t="s">
        <v>42</v>
      </c>
      <c r="E11" s="9" t="s">
        <v>642</v>
      </c>
      <c r="F11" s="4" t="str">
        <f>HYPERLINK("https://stat100.ameba.jp/tnk47/ratio20/illustrations/card/ill_76303_2_haroinkaguya03.jpg", "■")</f>
        <v>■</v>
      </c>
      <c r="G11" s="1" t="s">
        <v>281</v>
      </c>
      <c r="H11" s="35"/>
      <c r="I11" s="35"/>
      <c r="J11" s="37"/>
      <c r="K11" s="37"/>
      <c r="L11" s="37"/>
      <c r="M11" s="1" t="s">
        <v>282</v>
      </c>
      <c r="N11" s="1" t="s">
        <v>283</v>
      </c>
      <c r="O11" s="35"/>
    </row>
    <row r="12" spans="1:15">
      <c r="A12" s="33">
        <v>43405</v>
      </c>
      <c r="B12" s="35">
        <v>77173</v>
      </c>
      <c r="C12" s="35" t="s">
        <v>179</v>
      </c>
      <c r="D12" s="8" t="s">
        <v>93</v>
      </c>
      <c r="E12" s="9" t="s">
        <v>612</v>
      </c>
      <c r="F12" s="4" t="str">
        <f>HYPERLINK("https://stat100.ameba.jp/tnk47/ratio20/illustrations/card/ill_77173_0_yukemuritomoegozen03.jpg", "■")</f>
        <v>■</v>
      </c>
      <c r="G12" s="1" t="s">
        <v>385</v>
      </c>
      <c r="H12" s="35"/>
      <c r="I12" s="35" t="s">
        <v>866</v>
      </c>
      <c r="J12" s="36" t="s">
        <v>1199</v>
      </c>
      <c r="K12" s="36" t="s">
        <v>1200</v>
      </c>
      <c r="L12" s="36" t="s">
        <v>1201</v>
      </c>
      <c r="M12" s="1" t="s">
        <v>386</v>
      </c>
      <c r="N12" s="1" t="s">
        <v>387</v>
      </c>
      <c r="O12" s="35" t="s">
        <v>1258</v>
      </c>
    </row>
    <row r="13" spans="1:15">
      <c r="A13" s="34"/>
      <c r="B13" s="35"/>
      <c r="C13" s="35"/>
      <c r="D13" s="8" t="s">
        <v>8</v>
      </c>
      <c r="E13" s="9" t="s">
        <v>643</v>
      </c>
      <c r="F13" s="4" t="str">
        <f>HYPERLINK("https://stat100.ameba.jp/tnk47/ratio20/illustrations/card/ill_77173_1_yukemuritomoegozen03.jpg", "■")</f>
        <v>■</v>
      </c>
      <c r="G13" s="1" t="s">
        <v>388</v>
      </c>
      <c r="H13" s="35"/>
      <c r="I13" s="35"/>
      <c r="J13" s="37"/>
      <c r="K13" s="37"/>
      <c r="L13" s="37"/>
      <c r="M13" s="1" t="s">
        <v>389</v>
      </c>
      <c r="N13" s="1" t="s">
        <v>390</v>
      </c>
      <c r="O13" s="35"/>
    </row>
    <row r="14" spans="1:15">
      <c r="A14" s="34"/>
      <c r="B14" s="35"/>
      <c r="C14" s="35"/>
      <c r="D14" s="8" t="s">
        <v>15</v>
      </c>
      <c r="E14" s="9" t="s">
        <v>644</v>
      </c>
      <c r="F14" s="4" t="str">
        <f>HYPERLINK("https://stat100.ameba.jp/tnk47/ratio20/illustrations/card/ill_77173_2_yukemuritomoegozen03.jpg", "■")</f>
        <v>■</v>
      </c>
      <c r="G14" s="1" t="s">
        <v>391</v>
      </c>
      <c r="H14" s="35"/>
      <c r="I14" s="35"/>
      <c r="J14" s="37"/>
      <c r="K14" s="37"/>
      <c r="L14" s="37"/>
      <c r="M14" s="1" t="s">
        <v>392</v>
      </c>
      <c r="N14" s="1" t="s">
        <v>393</v>
      </c>
      <c r="O14" s="35"/>
    </row>
    <row r="15" spans="1:15">
      <c r="A15" s="33">
        <v>43435</v>
      </c>
      <c r="B15" s="35">
        <v>77963</v>
      </c>
      <c r="C15" s="35" t="s">
        <v>179</v>
      </c>
      <c r="D15" s="8" t="s">
        <v>23</v>
      </c>
      <c r="E15" s="9" t="s">
        <v>645</v>
      </c>
      <c r="F15" s="4" t="str">
        <f>HYPERLINK("https://stat100.ameba.jp/tnk47/ratio20/illustrations/card/ill_77963_0_kurisumasudaisakusentakiyashahime03.jpg", "■")</f>
        <v>■</v>
      </c>
      <c r="G15" s="1" t="s">
        <v>407</v>
      </c>
      <c r="H15" s="35" t="s">
        <v>586</v>
      </c>
      <c r="I15" s="35"/>
      <c r="J15" s="36" t="s">
        <v>635</v>
      </c>
      <c r="K15" s="36" t="s">
        <v>636</v>
      </c>
      <c r="L15" s="36" t="s">
        <v>637</v>
      </c>
      <c r="M15" s="1" t="s">
        <v>405</v>
      </c>
      <c r="N15" s="1" t="s">
        <v>406</v>
      </c>
      <c r="O15" s="35" t="s">
        <v>1259</v>
      </c>
    </row>
    <row r="16" spans="1:15">
      <c r="A16" s="34"/>
      <c r="B16" s="35"/>
      <c r="C16" s="35"/>
      <c r="D16" s="8" t="s">
        <v>24</v>
      </c>
      <c r="E16" s="9" t="s">
        <v>646</v>
      </c>
      <c r="F16" s="4" t="str">
        <f>HYPERLINK("https://stat100.ameba.jp/tnk47/ratio20/illustrations/card/ill_77963_1_kurisumasudaisakusentakiyashahime03.jpg", "■")</f>
        <v>■</v>
      </c>
      <c r="G16" s="1" t="s">
        <v>408</v>
      </c>
      <c r="H16" s="35"/>
      <c r="I16" s="35"/>
      <c r="J16" s="37"/>
      <c r="K16" s="37"/>
      <c r="L16" s="37"/>
      <c r="M16" s="1" t="s">
        <v>409</v>
      </c>
      <c r="N16" s="1" t="s">
        <v>410</v>
      </c>
      <c r="O16" s="35"/>
    </row>
    <row r="17" spans="1:15">
      <c r="A17" s="34"/>
      <c r="B17" s="35"/>
      <c r="C17" s="35"/>
      <c r="D17" s="8" t="s">
        <v>51</v>
      </c>
      <c r="E17" s="9" t="s">
        <v>692</v>
      </c>
      <c r="F17" s="4" t="str">
        <f>HYPERLINK("https://stat100.ameba.jp/tnk47/ratio20/illustrations/card/ill_77963_2_kurisumasudaisakusentakiyashahime03.jpg", "■")</f>
        <v>■</v>
      </c>
      <c r="G17" s="1" t="s">
        <v>411</v>
      </c>
      <c r="H17" s="35"/>
      <c r="I17" s="35"/>
      <c r="J17" s="37"/>
      <c r="K17" s="37"/>
      <c r="L17" s="37"/>
      <c r="M17" s="1" t="s">
        <v>412</v>
      </c>
      <c r="N17" s="1" t="s">
        <v>413</v>
      </c>
      <c r="O17" s="35"/>
    </row>
    <row r="18" spans="1:15">
      <c r="A18" s="33">
        <v>43466</v>
      </c>
      <c r="B18" s="35">
        <v>78693</v>
      </c>
      <c r="C18" s="35" t="s">
        <v>179</v>
      </c>
      <c r="D18" s="8" t="s">
        <v>31</v>
      </c>
      <c r="E18" s="9" t="s">
        <v>647</v>
      </c>
      <c r="F18" s="4" t="str">
        <f>HYPERLINK("https://stat100.ameba.jp/tnk47/ratio20/illustrations/card/ill_78693_0_kyupittokoinomikoto03.jpg", "■")</f>
        <v>■</v>
      </c>
      <c r="G18" s="1" t="s">
        <v>428</v>
      </c>
      <c r="H18" s="35"/>
      <c r="I18" s="35"/>
      <c r="J18" s="36" t="s">
        <v>1013</v>
      </c>
      <c r="K18" s="36" t="s">
        <v>1112</v>
      </c>
      <c r="L18" s="36" t="s">
        <v>1113</v>
      </c>
      <c r="M18" s="1" t="s">
        <v>429</v>
      </c>
      <c r="N18" s="1" t="s">
        <v>430</v>
      </c>
      <c r="O18" s="35" t="s">
        <v>1260</v>
      </c>
    </row>
    <row r="19" spans="1:15">
      <c r="A19" s="34"/>
      <c r="B19" s="35"/>
      <c r="C19" s="35"/>
      <c r="D19" s="8" t="s">
        <v>42</v>
      </c>
      <c r="E19" s="9" t="s">
        <v>648</v>
      </c>
      <c r="F19" s="4" t="str">
        <f>HYPERLINK("https://stat100.ameba.jp/tnk47/ratio20/illustrations/card/ill_78693_1_kyupittokoinomikoto03.jpg", "■")</f>
        <v>■</v>
      </c>
      <c r="G19" s="1" t="s">
        <v>431</v>
      </c>
      <c r="H19" s="35"/>
      <c r="I19" s="35"/>
      <c r="J19" s="37"/>
      <c r="K19" s="37"/>
      <c r="L19" s="37"/>
      <c r="M19" s="1" t="s">
        <v>432</v>
      </c>
      <c r="N19" s="1" t="s">
        <v>433</v>
      </c>
      <c r="O19" s="35"/>
    </row>
    <row r="20" spans="1:15">
      <c r="A20" s="34"/>
      <c r="B20" s="35"/>
      <c r="C20" s="35"/>
      <c r="D20" s="8" t="s">
        <v>62</v>
      </c>
      <c r="E20" s="9" t="s">
        <v>649</v>
      </c>
      <c r="F20" s="4" t="str">
        <f>HYPERLINK("https://stat100.ameba.jp/tnk47/ratio20/illustrations/card/ill_78693_2_kyupittokoinomikoto03.jpg", "■")</f>
        <v>■</v>
      </c>
      <c r="G20" s="1" t="s">
        <v>436</v>
      </c>
      <c r="H20" s="35"/>
      <c r="I20" s="35"/>
      <c r="J20" s="37"/>
      <c r="K20" s="37"/>
      <c r="L20" s="37"/>
      <c r="M20" s="1" t="s">
        <v>435</v>
      </c>
      <c r="N20" s="1" t="s">
        <v>434</v>
      </c>
      <c r="O20" s="35"/>
    </row>
    <row r="21" spans="1:15">
      <c r="A21" s="33">
        <v>43497</v>
      </c>
      <c r="B21" s="35">
        <v>79373</v>
      </c>
      <c r="C21" s="35" t="s">
        <v>179</v>
      </c>
      <c r="D21" s="8" t="s">
        <v>15</v>
      </c>
      <c r="E21" s="9" t="s">
        <v>650</v>
      </c>
      <c r="F21" s="4" t="str">
        <f>HYPERLINK("https://stat100.ameba.jp/tnk47/ratio20/illustrations/card/ill_79373_0_hommeichokotennyohime03.jpg", "■")</f>
        <v>■</v>
      </c>
      <c r="G21" s="1" t="s">
        <v>437</v>
      </c>
      <c r="H21" s="35"/>
      <c r="I21" s="35" t="s">
        <v>587</v>
      </c>
      <c r="J21" s="36" t="s">
        <v>631</v>
      </c>
      <c r="K21" s="36" t="s">
        <v>632</v>
      </c>
      <c r="L21" s="36" t="s">
        <v>633</v>
      </c>
      <c r="M21" s="1" t="s">
        <v>438</v>
      </c>
      <c r="N21" s="1" t="s">
        <v>439</v>
      </c>
      <c r="O21" s="35" t="s">
        <v>1261</v>
      </c>
    </row>
    <row r="22" spans="1:15">
      <c r="A22" s="34"/>
      <c r="B22" s="35"/>
      <c r="C22" s="35"/>
      <c r="D22" s="8" t="s">
        <v>23</v>
      </c>
      <c r="E22" s="9" t="s">
        <v>651</v>
      </c>
      <c r="F22" s="4" t="str">
        <f>HYPERLINK("https://stat100.ameba.jp/tnk47/ratio20/illustrations/card/ill_79373_1_hommeichokotennyohime03.jpg", "■")</f>
        <v>■</v>
      </c>
      <c r="G22" s="1" t="s">
        <v>440</v>
      </c>
      <c r="H22" s="35"/>
      <c r="I22" s="35"/>
      <c r="J22" s="37"/>
      <c r="K22" s="37"/>
      <c r="L22" s="37"/>
      <c r="M22" s="1" t="s">
        <v>441</v>
      </c>
      <c r="N22" s="1" t="s">
        <v>442</v>
      </c>
      <c r="O22" s="35"/>
    </row>
    <row r="23" spans="1:15">
      <c r="A23" s="34"/>
      <c r="B23" s="35"/>
      <c r="C23" s="35"/>
      <c r="D23" s="8" t="s">
        <v>8</v>
      </c>
      <c r="E23" s="9" t="s">
        <v>652</v>
      </c>
      <c r="F23" s="4" t="str">
        <f>HYPERLINK("https://stat100.ameba.jp/tnk47/ratio20/illustrations/card/ill_79373_2_hommeichokotennyohime03.jpg", "■")</f>
        <v>■</v>
      </c>
      <c r="G23" s="1" t="s">
        <v>443</v>
      </c>
      <c r="H23" s="35"/>
      <c r="I23" s="35"/>
      <c r="J23" s="37"/>
      <c r="K23" s="37"/>
      <c r="L23" s="37"/>
      <c r="M23" s="1" t="s">
        <v>444</v>
      </c>
      <c r="N23" s="1" t="s">
        <v>445</v>
      </c>
      <c r="O23" s="35"/>
    </row>
    <row r="24" spans="1:15">
      <c r="A24" s="33">
        <v>43525</v>
      </c>
      <c r="B24" s="35">
        <v>80023</v>
      </c>
      <c r="C24" s="35" t="s">
        <v>179</v>
      </c>
      <c r="D24" s="8" t="s">
        <v>24</v>
      </c>
      <c r="E24" s="9" t="s">
        <v>653</v>
      </c>
      <c r="F24" s="4" t="str">
        <f>HYPERLINK("https://stat100.ameba.jp/tnk47/ratio20/illustrations/card/ill_80023_0_hinamatsurikyogokumaria03.jpg", "■")</f>
        <v>■</v>
      </c>
      <c r="G24" s="1" t="s">
        <v>446</v>
      </c>
      <c r="H24" s="35"/>
      <c r="I24" s="35"/>
      <c r="J24" s="36" t="s">
        <v>880</v>
      </c>
      <c r="K24" s="36" t="s">
        <v>913</v>
      </c>
      <c r="L24" s="36" t="s">
        <v>912</v>
      </c>
      <c r="M24" s="1" t="s">
        <v>447</v>
      </c>
      <c r="N24" s="1" t="s">
        <v>203</v>
      </c>
      <c r="O24" s="35" t="s">
        <v>1262</v>
      </c>
    </row>
    <row r="25" spans="1:15">
      <c r="A25" s="34"/>
      <c r="B25" s="35"/>
      <c r="C25" s="35"/>
      <c r="D25" s="8" t="s">
        <v>23</v>
      </c>
      <c r="E25" s="9" t="s">
        <v>654</v>
      </c>
      <c r="F25" s="4" t="str">
        <f>HYPERLINK("https://stat100.ameba.jp/tnk47/ratio20/illustrations/card/ill_80023_1_hinamatsurikyogokumaria03.jpg", "■")</f>
        <v>■</v>
      </c>
      <c r="G25" s="1" t="s">
        <v>448</v>
      </c>
      <c r="H25" s="35"/>
      <c r="I25" s="35"/>
      <c r="J25" s="37"/>
      <c r="K25" s="37"/>
      <c r="L25" s="37"/>
      <c r="M25" s="1" t="s">
        <v>449</v>
      </c>
      <c r="N25" s="1" t="s">
        <v>450</v>
      </c>
      <c r="O25" s="35"/>
    </row>
    <row r="26" spans="1:15">
      <c r="A26" s="34"/>
      <c r="B26" s="35"/>
      <c r="C26" s="35"/>
      <c r="D26" s="8" t="s">
        <v>51</v>
      </c>
      <c r="E26" s="9" t="s">
        <v>655</v>
      </c>
      <c r="F26" s="4" t="str">
        <f>HYPERLINK("https://stat100.ameba.jp/tnk47/ratio20/illustrations/card/ill_80023_2_hinamatsurikyogokumaria03.jpg", "■")</f>
        <v>■</v>
      </c>
      <c r="G26" s="1" t="s">
        <v>451</v>
      </c>
      <c r="H26" s="35"/>
      <c r="I26" s="35"/>
      <c r="J26" s="37"/>
      <c r="K26" s="37"/>
      <c r="L26" s="37"/>
      <c r="M26" s="1" t="s">
        <v>452</v>
      </c>
      <c r="N26" s="1" t="s">
        <v>206</v>
      </c>
      <c r="O26" s="35"/>
    </row>
    <row r="27" spans="1:15">
      <c r="A27" s="33">
        <v>43556</v>
      </c>
      <c r="B27" s="35">
        <v>80623</v>
      </c>
      <c r="C27" s="35" t="s">
        <v>179</v>
      </c>
      <c r="D27" s="8" t="s">
        <v>42</v>
      </c>
      <c r="E27" s="9" t="s">
        <v>656</v>
      </c>
      <c r="F27" s="4" t="str">
        <f>HYPERLINK("https://stat100.ameba.jp/tnk47/ratio20/illustrations/card/ill_80623_0_ohanamigurampingutominushihime03.jpg", "■")</f>
        <v>■</v>
      </c>
      <c r="G27" s="1" t="s">
        <v>453</v>
      </c>
      <c r="H27" s="35"/>
      <c r="I27" s="35" t="s">
        <v>1097</v>
      </c>
      <c r="J27" s="36" t="s">
        <v>1106</v>
      </c>
      <c r="K27" s="36" t="s">
        <v>1107</v>
      </c>
      <c r="L27" s="36" t="s">
        <v>1108</v>
      </c>
      <c r="M27" s="1" t="s">
        <v>454</v>
      </c>
      <c r="N27" s="1" t="s">
        <v>455</v>
      </c>
      <c r="O27" s="35" t="s">
        <v>1263</v>
      </c>
    </row>
    <row r="28" spans="1:15">
      <c r="A28" s="34"/>
      <c r="B28" s="35"/>
      <c r="C28" s="35"/>
      <c r="D28" s="8" t="s">
        <v>62</v>
      </c>
      <c r="E28" s="9" t="s">
        <v>657</v>
      </c>
      <c r="F28" s="4" t="str">
        <f>HYPERLINK("https://stat100.ameba.jp/tnk47/ratio20/illustrations/card/ill_80623_1_ohanamigurampingutominushihime03.jpg", "■")</f>
        <v>■</v>
      </c>
      <c r="G28" s="1" t="s">
        <v>456</v>
      </c>
      <c r="H28" s="35"/>
      <c r="I28" s="35"/>
      <c r="J28" s="37"/>
      <c r="K28" s="37"/>
      <c r="L28" s="37"/>
      <c r="M28" s="1" t="s">
        <v>457</v>
      </c>
      <c r="N28" s="1" t="s">
        <v>458</v>
      </c>
      <c r="O28" s="35"/>
    </row>
    <row r="29" spans="1:15">
      <c r="A29" s="34"/>
      <c r="B29" s="35"/>
      <c r="C29" s="35"/>
      <c r="D29" s="8" t="s">
        <v>31</v>
      </c>
      <c r="E29" s="9" t="s">
        <v>658</v>
      </c>
      <c r="F29" s="4" t="str">
        <f>HYPERLINK("https://stat100.ameba.jp/tnk47/ratio20/illustrations/card/ill_80623_2_ohanamigurampingutominushihime03.jpg", "■")</f>
        <v>■</v>
      </c>
      <c r="G29" s="1" t="s">
        <v>459</v>
      </c>
      <c r="H29" s="35"/>
      <c r="I29" s="35"/>
      <c r="J29" s="37"/>
      <c r="K29" s="37"/>
      <c r="L29" s="37"/>
      <c r="M29" s="1" t="s">
        <v>460</v>
      </c>
      <c r="N29" s="1" t="s">
        <v>461</v>
      </c>
      <c r="O29" s="35"/>
    </row>
    <row r="30" spans="1:15">
      <c r="A30" s="33">
        <v>43586</v>
      </c>
      <c r="B30" s="35">
        <v>81183</v>
      </c>
      <c r="C30" s="35" t="s">
        <v>179</v>
      </c>
      <c r="D30" s="8" t="s">
        <v>42</v>
      </c>
      <c r="E30" s="9" t="s">
        <v>659</v>
      </c>
      <c r="F30" s="4" t="str">
        <f>HYPERLINK("https://stat100.ameba.jp/tnk47/ratio20/illustrations/card/ill_81183_0_shinryokunokisetsuamaterasu03.jpg", "■")</f>
        <v>■</v>
      </c>
      <c r="G30" s="1" t="s">
        <v>462</v>
      </c>
      <c r="H30" s="35"/>
      <c r="I30" s="35" t="s">
        <v>958</v>
      </c>
      <c r="J30" s="36" t="s">
        <v>821</v>
      </c>
      <c r="K30" s="36" t="s">
        <v>860</v>
      </c>
      <c r="L30" s="36" t="s">
        <v>861</v>
      </c>
      <c r="M30" s="1" t="s">
        <v>463</v>
      </c>
      <c r="N30" s="1" t="s">
        <v>464</v>
      </c>
      <c r="O30" s="35" t="s">
        <v>1264</v>
      </c>
    </row>
    <row r="31" spans="1:15">
      <c r="A31" s="34"/>
      <c r="B31" s="35"/>
      <c r="C31" s="35"/>
      <c r="D31" s="8" t="s">
        <v>93</v>
      </c>
      <c r="E31" s="9" t="s">
        <v>660</v>
      </c>
      <c r="F31" s="4" t="str">
        <f>HYPERLINK("https://stat100.ameba.jp/tnk47/ratio20/illustrations/card/ill_81183_1_shinryokunokisetsuamaterasu03.jpg", "■")</f>
        <v>■</v>
      </c>
      <c r="G31" s="1" t="s">
        <v>465</v>
      </c>
      <c r="H31" s="35"/>
      <c r="I31" s="35"/>
      <c r="J31" s="37"/>
      <c r="K31" s="37"/>
      <c r="L31" s="37"/>
      <c r="M31" s="1" t="s">
        <v>466</v>
      </c>
      <c r="N31" s="1" t="s">
        <v>467</v>
      </c>
      <c r="O31" s="35"/>
    </row>
    <row r="32" spans="1:15">
      <c r="A32" s="34"/>
      <c r="B32" s="35"/>
      <c r="C32" s="35"/>
      <c r="D32" s="8" t="s">
        <v>8</v>
      </c>
      <c r="E32" s="9" t="s">
        <v>661</v>
      </c>
      <c r="F32" s="4" t="str">
        <f>HYPERLINK("https://stat100.ameba.jp/tnk47/ratio20/illustrations/card/ill_81183_2_shinryokunokisetsuamaterasu03.jpg", "■")</f>
        <v>■</v>
      </c>
      <c r="G32" s="1" t="s">
        <v>468</v>
      </c>
      <c r="H32" s="35"/>
      <c r="I32" s="35"/>
      <c r="J32" s="37"/>
      <c r="K32" s="37"/>
      <c r="L32" s="37"/>
      <c r="M32" s="1" t="s">
        <v>469</v>
      </c>
      <c r="N32" s="1" t="s">
        <v>470</v>
      </c>
      <c r="O32" s="35"/>
    </row>
    <row r="33" spans="1:15">
      <c r="A33" s="33">
        <v>43617</v>
      </c>
      <c r="B33" s="35">
        <v>81783</v>
      </c>
      <c r="C33" s="35" t="s">
        <v>179</v>
      </c>
      <c r="D33" s="8" t="s">
        <v>24</v>
      </c>
      <c r="E33" s="9" t="s">
        <v>662</v>
      </c>
      <c r="F33" s="4" t="str">
        <f>HYPERLINK("https://stat100.ameba.jp/tnk47/ratio20/illustrations/card/ill_81783_0_denshagarukoteipenginchan03.jpg", "■")</f>
        <v>■</v>
      </c>
      <c r="G33" s="1" t="s">
        <v>473</v>
      </c>
      <c r="H33" s="35"/>
      <c r="I33" s="35" t="s">
        <v>588</v>
      </c>
      <c r="J33" s="36" t="s">
        <v>832</v>
      </c>
      <c r="K33" s="36" t="s">
        <v>833</v>
      </c>
      <c r="L33" s="36" t="s">
        <v>834</v>
      </c>
      <c r="M33" s="1" t="s">
        <v>474</v>
      </c>
      <c r="N33" s="1" t="s">
        <v>475</v>
      </c>
      <c r="O33" s="35" t="s">
        <v>1265</v>
      </c>
    </row>
    <row r="34" spans="1:15">
      <c r="A34" s="34"/>
      <c r="B34" s="35"/>
      <c r="C34" s="35"/>
      <c r="D34" s="8" t="s">
        <v>15</v>
      </c>
      <c r="E34" s="9" t="s">
        <v>663</v>
      </c>
      <c r="F34" s="4" t="str">
        <f>HYPERLINK("https://stat100.ameba.jp/tnk47/ratio20/illustrations/card/ill_81783_1_denshagarukoteipenginchan03.jpg", "■")</f>
        <v>■</v>
      </c>
      <c r="G34" s="1" t="s">
        <v>476</v>
      </c>
      <c r="H34" s="35"/>
      <c r="I34" s="35"/>
      <c r="J34" s="37"/>
      <c r="K34" s="37"/>
      <c r="L34" s="37"/>
      <c r="M34" s="1" t="s">
        <v>477</v>
      </c>
      <c r="N34" s="1" t="s">
        <v>478</v>
      </c>
      <c r="O34" s="35"/>
    </row>
    <row r="35" spans="1:15">
      <c r="A35" s="34"/>
      <c r="B35" s="35"/>
      <c r="C35" s="35"/>
      <c r="D35" s="8" t="s">
        <v>31</v>
      </c>
      <c r="E35" s="9" t="s">
        <v>664</v>
      </c>
      <c r="F35" s="4" t="str">
        <f>HYPERLINK("https://stat100.ameba.jp/tnk47/ratio20/illustrations/card/ill_81783_2_denshagarukoteipenginchan03.jpg", "■")</f>
        <v>■</v>
      </c>
      <c r="G35" s="1" t="s">
        <v>479</v>
      </c>
      <c r="H35" s="35"/>
      <c r="I35" s="35"/>
      <c r="J35" s="37"/>
      <c r="K35" s="37"/>
      <c r="L35" s="37"/>
      <c r="M35" s="1" t="s">
        <v>480</v>
      </c>
      <c r="N35" s="1" t="s">
        <v>481</v>
      </c>
      <c r="O35" s="35"/>
    </row>
    <row r="36" spans="1:15">
      <c r="A36" s="33">
        <v>43647</v>
      </c>
      <c r="B36" s="35">
        <v>82423</v>
      </c>
      <c r="C36" s="35" t="s">
        <v>179</v>
      </c>
      <c r="D36" s="8" t="s">
        <v>23</v>
      </c>
      <c r="E36" s="9" t="s">
        <v>666</v>
      </c>
      <c r="F36" s="4" t="str">
        <f>HYPERLINK("https://stat100.ameba.jp/tnk47/ratio20/illustrations/card/ill_82423_0_bikinigarukishi03.jpg", "■")</f>
        <v>■</v>
      </c>
      <c r="G36" s="1" t="s">
        <v>484</v>
      </c>
      <c r="H36" s="35" t="s">
        <v>1323</v>
      </c>
      <c r="I36" s="35"/>
      <c r="J36" s="36" t="s">
        <v>614</v>
      </c>
      <c r="K36" s="36" t="s">
        <v>615</v>
      </c>
      <c r="L36" s="36" t="s">
        <v>616</v>
      </c>
      <c r="M36" s="1" t="s">
        <v>485</v>
      </c>
      <c r="N36" s="1" t="s">
        <v>486</v>
      </c>
      <c r="O36" s="35" t="s">
        <v>1266</v>
      </c>
    </row>
    <row r="37" spans="1:15">
      <c r="A37" s="34"/>
      <c r="B37" s="35"/>
      <c r="C37" s="35"/>
      <c r="D37" s="8" t="s">
        <v>51</v>
      </c>
      <c r="E37" s="9" t="s">
        <v>665</v>
      </c>
      <c r="F37" s="4" t="str">
        <f>HYPERLINK("https://stat100.ameba.jp/tnk47/ratio20/illustrations/card/ill_82423_1_bikinigarukishi03.jpg", "■")</f>
        <v>■</v>
      </c>
      <c r="G37" s="1" t="s">
        <v>489</v>
      </c>
      <c r="H37" s="35"/>
      <c r="I37" s="35"/>
      <c r="J37" s="37"/>
      <c r="K37" s="37"/>
      <c r="L37" s="37"/>
      <c r="M37" s="1" t="s">
        <v>487</v>
      </c>
      <c r="N37" s="1" t="s">
        <v>488</v>
      </c>
      <c r="O37" s="35"/>
    </row>
    <row r="38" spans="1:15">
      <c r="A38" s="34"/>
      <c r="B38" s="35"/>
      <c r="C38" s="35"/>
      <c r="D38" s="8" t="s">
        <v>62</v>
      </c>
      <c r="E38" s="9" t="s">
        <v>667</v>
      </c>
      <c r="F38" s="4" t="str">
        <f>HYPERLINK("https://stat100.ameba.jp/tnk47/ratio20/illustrations/card/ill_82423_2_bikinigarukishi03.jpg", "■")</f>
        <v>■</v>
      </c>
      <c r="G38" s="1" t="s">
        <v>490</v>
      </c>
      <c r="H38" s="35"/>
      <c r="I38" s="35"/>
      <c r="J38" s="37"/>
      <c r="K38" s="37"/>
      <c r="L38" s="37"/>
      <c r="M38" s="1" t="s">
        <v>491</v>
      </c>
      <c r="N38" s="1" t="s">
        <v>492</v>
      </c>
      <c r="O38" s="35"/>
    </row>
    <row r="39" spans="1:15">
      <c r="A39" s="33">
        <v>43678</v>
      </c>
      <c r="B39" s="35">
        <v>82963</v>
      </c>
      <c r="C39" s="35" t="s">
        <v>179</v>
      </c>
      <c r="D39" s="8" t="s">
        <v>8</v>
      </c>
      <c r="E39" s="9" t="s">
        <v>668</v>
      </c>
      <c r="F39" s="4" t="str">
        <f>HYPERLINK("https://stat100.ameba.jp/tnk47/ratio20/illustrations/card/ill_82963_0_yukatamatsuritomokazuki03.jpg", "■")</f>
        <v>■</v>
      </c>
      <c r="G39" s="1" t="s">
        <v>496</v>
      </c>
      <c r="H39" s="35"/>
      <c r="I39" s="35"/>
      <c r="J39" s="36" t="s">
        <v>1202</v>
      </c>
      <c r="K39" s="36" t="s">
        <v>1204</v>
      </c>
      <c r="L39" s="36" t="s">
        <v>1203</v>
      </c>
      <c r="M39" s="1" t="s">
        <v>497</v>
      </c>
      <c r="N39" s="1" t="s">
        <v>498</v>
      </c>
      <c r="O39" s="35" t="s">
        <v>1267</v>
      </c>
    </row>
    <row r="40" spans="1:15">
      <c r="A40" s="34"/>
      <c r="B40" s="35"/>
      <c r="C40" s="35"/>
      <c r="D40" s="8" t="s">
        <v>51</v>
      </c>
      <c r="E40" s="9" t="s">
        <v>669</v>
      </c>
      <c r="F40" s="4" t="str">
        <f>HYPERLINK("https://stat100.ameba.jp/tnk47/ratio20/illustrations/card/ill_82963_1_yukatamatsuritomokazuki03.jpg", "■")</f>
        <v>■</v>
      </c>
      <c r="G40" s="1" t="s">
        <v>499</v>
      </c>
      <c r="H40" s="35"/>
      <c r="I40" s="35"/>
      <c r="J40" s="37"/>
      <c r="K40" s="37"/>
      <c r="L40" s="37"/>
      <c r="M40" s="1" t="s">
        <v>500</v>
      </c>
      <c r="N40" s="1" t="s">
        <v>504</v>
      </c>
      <c r="O40" s="35"/>
    </row>
    <row r="41" spans="1:15">
      <c r="A41" s="34"/>
      <c r="B41" s="35"/>
      <c r="C41" s="35"/>
      <c r="D41" s="8" t="s">
        <v>93</v>
      </c>
      <c r="E41" s="9" t="s">
        <v>670</v>
      </c>
      <c r="F41" s="4" t="str">
        <f>HYPERLINK("https://stat100.ameba.jp/tnk47/ratio20/illustrations/card/ill_82963_2_yukatamatsuritomokazuki03.jpg", "■")</f>
        <v>■</v>
      </c>
      <c r="G41" s="1" t="s">
        <v>501</v>
      </c>
      <c r="H41" s="35"/>
      <c r="I41" s="35"/>
      <c r="J41" s="37"/>
      <c r="K41" s="37"/>
      <c r="L41" s="37"/>
      <c r="M41" s="1" t="s">
        <v>502</v>
      </c>
      <c r="N41" s="1" t="s">
        <v>503</v>
      </c>
      <c r="O41" s="35"/>
    </row>
    <row r="42" spans="1:15">
      <c r="A42" s="33">
        <v>43709</v>
      </c>
      <c r="B42" s="35">
        <v>83553</v>
      </c>
      <c r="C42" s="35" t="s">
        <v>179</v>
      </c>
      <c r="D42" s="8" t="s">
        <v>42</v>
      </c>
      <c r="E42" s="9" t="s">
        <v>671</v>
      </c>
      <c r="F42" s="4" t="str">
        <f>HYPERLINK("https://stat100.ameba.jp/tnk47/ratio20/illustrations/card/ill_83553_0_kajuenamoronagu03.jpg", "■")</f>
        <v>■</v>
      </c>
      <c r="G42" s="1" t="s">
        <v>506</v>
      </c>
      <c r="H42" s="35"/>
      <c r="I42" s="35"/>
      <c r="J42" s="36" t="s">
        <v>959</v>
      </c>
      <c r="K42" s="36" t="s">
        <v>1046</v>
      </c>
      <c r="L42" s="36" t="s">
        <v>1047</v>
      </c>
      <c r="M42" s="1" t="s">
        <v>505</v>
      </c>
      <c r="N42" s="1" t="s">
        <v>393</v>
      </c>
      <c r="O42" s="35" t="s">
        <v>1268</v>
      </c>
    </row>
    <row r="43" spans="1:15">
      <c r="A43" s="34"/>
      <c r="B43" s="35"/>
      <c r="C43" s="35"/>
      <c r="D43" s="8" t="s">
        <v>31</v>
      </c>
      <c r="E43" s="9" t="s">
        <v>672</v>
      </c>
      <c r="F43" s="4" t="str">
        <f>HYPERLINK("https://stat100.ameba.jp/tnk47/ratio20/illustrations/card/ill_83553_1_kajuenamoronagu03.jpg", "■")</f>
        <v>■</v>
      </c>
      <c r="G43" s="1" t="s">
        <v>508</v>
      </c>
      <c r="H43" s="35"/>
      <c r="I43" s="35"/>
      <c r="J43" s="37"/>
      <c r="K43" s="37"/>
      <c r="L43" s="37"/>
      <c r="M43" s="1" t="s">
        <v>507</v>
      </c>
      <c r="N43" s="1" t="s">
        <v>387</v>
      </c>
      <c r="O43" s="35"/>
    </row>
    <row r="44" spans="1:15">
      <c r="A44" s="34"/>
      <c r="B44" s="35"/>
      <c r="C44" s="35"/>
      <c r="D44" s="8" t="s">
        <v>24</v>
      </c>
      <c r="E44" s="9" t="s">
        <v>673</v>
      </c>
      <c r="F44" s="4" t="str">
        <f>HYPERLINK("https://stat100.ameba.jp/tnk47/ratio20/illustrations/card/ill_83553_2_kajuenamoronagu03.jpg", "■")</f>
        <v>■</v>
      </c>
      <c r="G44" s="1" t="s">
        <v>510</v>
      </c>
      <c r="H44" s="35"/>
      <c r="I44" s="35"/>
      <c r="J44" s="37"/>
      <c r="K44" s="37"/>
      <c r="L44" s="37"/>
      <c r="M44" s="1" t="s">
        <v>509</v>
      </c>
      <c r="N44" s="1" t="s">
        <v>390</v>
      </c>
      <c r="O44" s="35"/>
    </row>
    <row r="45" spans="1:15">
      <c r="A45" s="33">
        <v>43739</v>
      </c>
      <c r="B45" s="35">
        <v>84203</v>
      </c>
      <c r="C45" s="35" t="s">
        <v>179</v>
      </c>
      <c r="D45" s="8" t="s">
        <v>62</v>
      </c>
      <c r="E45" s="9" t="s">
        <v>674</v>
      </c>
      <c r="F45" s="4" t="str">
        <f>HYPERLINK("https://stat100.ameba.jp/tnk47/ratio20/illustrations/card/ill_84203_0_tarottofujiwaranoshoshi03.jpg", "■")</f>
        <v>■</v>
      </c>
      <c r="G45" s="1" t="s">
        <v>512</v>
      </c>
      <c r="H45" s="35"/>
      <c r="I45" s="35"/>
      <c r="J45" s="36" t="s">
        <v>959</v>
      </c>
      <c r="K45" s="36" t="s">
        <v>960</v>
      </c>
      <c r="L45" s="36" t="s">
        <v>961</v>
      </c>
      <c r="M45" s="1" t="s">
        <v>513</v>
      </c>
      <c r="N45" s="1" t="s">
        <v>514</v>
      </c>
      <c r="O45" s="35" t="s">
        <v>1269</v>
      </c>
    </row>
    <row r="46" spans="1:15">
      <c r="A46" s="34"/>
      <c r="B46" s="35"/>
      <c r="C46" s="35"/>
      <c r="D46" s="8" t="s">
        <v>15</v>
      </c>
      <c r="E46" s="9" t="s">
        <v>675</v>
      </c>
      <c r="F46" s="4" t="str">
        <f>HYPERLINK("https://stat100.ameba.jp/tnk47/ratio20/illustrations/card/ill_84203_1_tarottofujiwaranoshoshi03.jpg", "■")</f>
        <v>■</v>
      </c>
      <c r="G46" s="1" t="s">
        <v>515</v>
      </c>
      <c r="H46" s="35"/>
      <c r="I46" s="35"/>
      <c r="J46" s="37"/>
      <c r="K46" s="37"/>
      <c r="L46" s="37"/>
      <c r="M46" s="1" t="s">
        <v>517</v>
      </c>
      <c r="N46" s="1" t="s">
        <v>516</v>
      </c>
      <c r="O46" s="35"/>
    </row>
    <row r="47" spans="1:15">
      <c r="A47" s="34"/>
      <c r="B47" s="35"/>
      <c r="C47" s="35"/>
      <c r="D47" s="8" t="s">
        <v>23</v>
      </c>
      <c r="E47" s="9" t="s">
        <v>676</v>
      </c>
      <c r="F47" s="4" t="str">
        <f>HYPERLINK("https://stat100.ameba.jp/tnk47/ratio20/illustrations/card/ill_84203_2_tarottofujiwaranoshoshi03.jpg", "■")</f>
        <v>■</v>
      </c>
      <c r="G47" s="1" t="s">
        <v>518</v>
      </c>
      <c r="H47" s="35"/>
      <c r="I47" s="35"/>
      <c r="J47" s="37"/>
      <c r="K47" s="37"/>
      <c r="L47" s="37"/>
      <c r="M47" s="1" t="s">
        <v>520</v>
      </c>
      <c r="N47" s="1" t="s">
        <v>519</v>
      </c>
      <c r="O47" s="35"/>
    </row>
    <row r="48" spans="1:15">
      <c r="A48" s="33">
        <v>43770</v>
      </c>
      <c r="B48" s="35">
        <v>84923</v>
      </c>
      <c r="C48" s="35" t="s">
        <v>179</v>
      </c>
      <c r="D48" s="8" t="s">
        <v>31</v>
      </c>
      <c r="E48" s="9" t="s">
        <v>677</v>
      </c>
      <c r="F48" s="4" t="str">
        <f>HYPERLINK("https://stat100.ameba.jp/tnk47/ratio20/illustrations/card/ill_84923_0_onsengainansosatomihakkenden03.jpg", "■")</f>
        <v>■</v>
      </c>
      <c r="G48" s="1" t="s">
        <v>525</v>
      </c>
      <c r="H48" s="35"/>
      <c r="I48" s="35"/>
      <c r="J48" s="36" t="s">
        <v>1208</v>
      </c>
      <c r="K48" s="36" t="s">
        <v>1210</v>
      </c>
      <c r="L48" s="36" t="s">
        <v>1209</v>
      </c>
      <c r="M48" s="1" t="s">
        <v>524</v>
      </c>
      <c r="N48" s="1" t="s">
        <v>523</v>
      </c>
      <c r="O48" s="35" t="s">
        <v>1270</v>
      </c>
    </row>
    <row r="49" spans="1:15">
      <c r="A49" s="34"/>
      <c r="B49" s="35"/>
      <c r="C49" s="35"/>
      <c r="D49" s="8" t="s">
        <v>8</v>
      </c>
      <c r="E49" s="9" t="s">
        <v>678</v>
      </c>
      <c r="F49" s="4" t="str">
        <f>HYPERLINK("https://stat100.ameba.jp/tnk47/ratio20/illustrations/card/ill_84923_1_onsengainansosatomihakkenden03.jpg", "■")</f>
        <v>■</v>
      </c>
      <c r="G49" s="1" t="s">
        <v>528</v>
      </c>
      <c r="H49" s="35"/>
      <c r="I49" s="35"/>
      <c r="J49" s="37"/>
      <c r="K49" s="37"/>
      <c r="L49" s="37"/>
      <c r="M49" s="1" t="s">
        <v>527</v>
      </c>
      <c r="N49" s="1" t="s">
        <v>526</v>
      </c>
      <c r="O49" s="35"/>
    </row>
    <row r="50" spans="1:15">
      <c r="A50" s="34"/>
      <c r="B50" s="35"/>
      <c r="C50" s="35"/>
      <c r="D50" s="8" t="s">
        <v>51</v>
      </c>
      <c r="E50" s="9" t="s">
        <v>679</v>
      </c>
      <c r="F50" s="4" t="str">
        <f>HYPERLINK("https://stat100.ameba.jp/tnk47/ratio20/illustrations/card/ill_84923_2_onsengainansosatomihakkenden03.jpg", "■")</f>
        <v>■</v>
      </c>
      <c r="G50" s="1" t="s">
        <v>693</v>
      </c>
      <c r="H50" s="35"/>
      <c r="I50" s="35"/>
      <c r="J50" s="37"/>
      <c r="K50" s="37"/>
      <c r="L50" s="37"/>
      <c r="M50" s="1" t="s">
        <v>530</v>
      </c>
      <c r="N50" s="1" t="s">
        <v>529</v>
      </c>
      <c r="O50" s="35"/>
    </row>
    <row r="51" spans="1:15">
      <c r="A51" s="33">
        <v>43800</v>
      </c>
      <c r="B51" s="35">
        <v>85523</v>
      </c>
      <c r="C51" s="35" t="s">
        <v>179</v>
      </c>
      <c r="D51" s="8" t="s">
        <v>23</v>
      </c>
      <c r="E51" s="9" t="s">
        <v>680</v>
      </c>
      <c r="F51" s="4" t="str">
        <f>HYPERLINK("https://stat100.ameba.jp/tnk47/ratio20/illustrations/card/ill_85523_0_seitankuronikurukusumotoine03.jpg", "■")</f>
        <v>■</v>
      </c>
      <c r="G51" s="1" t="s">
        <v>533</v>
      </c>
      <c r="H51" s="35"/>
      <c r="I51" s="35"/>
      <c r="J51" s="36" t="s">
        <v>1087</v>
      </c>
      <c r="K51" s="36" t="s">
        <v>1088</v>
      </c>
      <c r="L51" s="36" t="s">
        <v>1089</v>
      </c>
      <c r="M51" s="1" t="s">
        <v>532</v>
      </c>
      <c r="N51" s="1" t="s">
        <v>531</v>
      </c>
      <c r="O51" s="35" t="s">
        <v>1271</v>
      </c>
    </row>
    <row r="52" spans="1:15">
      <c r="A52" s="34"/>
      <c r="B52" s="35"/>
      <c r="C52" s="35"/>
      <c r="D52" s="8" t="s">
        <v>42</v>
      </c>
      <c r="E52" s="9" t="s">
        <v>681</v>
      </c>
      <c r="F52" s="4" t="str">
        <f>HYPERLINK("https://stat100.ameba.jp/tnk47/ratio20/illustrations/card/ill_85523_1_seitankuronikurukusumotoine03.jpg", "■")</f>
        <v>■</v>
      </c>
      <c r="G52" s="1" t="s">
        <v>536</v>
      </c>
      <c r="H52" s="35"/>
      <c r="I52" s="35"/>
      <c r="J52" s="37"/>
      <c r="K52" s="37"/>
      <c r="L52" s="37"/>
      <c r="M52" s="1" t="s">
        <v>535</v>
      </c>
      <c r="N52" s="1" t="s">
        <v>534</v>
      </c>
      <c r="O52" s="35"/>
    </row>
    <row r="53" spans="1:15">
      <c r="A53" s="34"/>
      <c r="B53" s="35"/>
      <c r="C53" s="35"/>
      <c r="D53" s="8" t="s">
        <v>62</v>
      </c>
      <c r="E53" s="9" t="s">
        <v>682</v>
      </c>
      <c r="F53" s="4" t="str">
        <f>HYPERLINK("https://stat100.ameba.jp/tnk47/ratio20/illustrations/card/ill_85523_2_seitankuronikurukusumotoine03.jpg", "■")</f>
        <v>■</v>
      </c>
      <c r="G53" s="1" t="s">
        <v>539</v>
      </c>
      <c r="H53" s="35"/>
      <c r="I53" s="35"/>
      <c r="J53" s="37"/>
      <c r="K53" s="37"/>
      <c r="L53" s="37"/>
      <c r="M53" s="1" t="s">
        <v>538</v>
      </c>
      <c r="N53" s="1" t="s">
        <v>537</v>
      </c>
      <c r="O53" s="35"/>
    </row>
    <row r="54" spans="1:15">
      <c r="A54" s="33">
        <v>43831</v>
      </c>
      <c r="B54" s="35">
        <v>86273</v>
      </c>
      <c r="C54" s="35" t="s">
        <v>179</v>
      </c>
      <c r="D54" s="8" t="s">
        <v>62</v>
      </c>
      <c r="E54" s="9" t="s">
        <v>683</v>
      </c>
      <c r="F54" s="4" t="str">
        <f>HYPERLINK("https://stat100.ameba.jp/tnk47/ratio20/illustrations/card/ill_86273_0_oshogatsuniijimayae03.jpg", "■")</f>
        <v>■</v>
      </c>
      <c r="G54" s="1" t="s">
        <v>560</v>
      </c>
      <c r="H54" s="35"/>
      <c r="I54" s="35"/>
      <c r="J54" s="36" t="s">
        <v>1003</v>
      </c>
      <c r="K54" s="36" t="s">
        <v>1004</v>
      </c>
      <c r="L54" s="36" t="s">
        <v>1005</v>
      </c>
      <c r="M54" s="1" t="s">
        <v>563</v>
      </c>
      <c r="N54" s="1" t="s">
        <v>568</v>
      </c>
      <c r="O54" s="35" t="s">
        <v>1272</v>
      </c>
    </row>
    <row r="55" spans="1:15">
      <c r="A55" s="34"/>
      <c r="B55" s="35"/>
      <c r="C55" s="35"/>
      <c r="D55" s="8" t="s">
        <v>93</v>
      </c>
      <c r="E55" s="9" t="s">
        <v>684</v>
      </c>
      <c r="F55" s="4" t="str">
        <f>HYPERLINK("https://stat100.ameba.jp/tnk47/ratio20/illustrations/card/ill_86273_1_oshogatsuniijimayae03.jpg", "■")</f>
        <v>■</v>
      </c>
      <c r="G55" s="1" t="s">
        <v>561</v>
      </c>
      <c r="H55" s="35"/>
      <c r="I55" s="35"/>
      <c r="J55" s="37"/>
      <c r="K55" s="37"/>
      <c r="L55" s="37"/>
      <c r="M55" s="1" t="s">
        <v>564</v>
      </c>
      <c r="N55" s="1" t="s">
        <v>566</v>
      </c>
      <c r="O55" s="35"/>
    </row>
    <row r="56" spans="1:15">
      <c r="A56" s="34"/>
      <c r="B56" s="35"/>
      <c r="C56" s="35"/>
      <c r="D56" s="8" t="s">
        <v>51</v>
      </c>
      <c r="E56" s="9" t="s">
        <v>685</v>
      </c>
      <c r="F56" s="4" t="str">
        <f>HYPERLINK("https://stat100.ameba.jp/tnk47/ratio20/illustrations/card/ill_86273_2_oshogatsuniijimayae03.jpg", "■")</f>
        <v>■</v>
      </c>
      <c r="G56" s="1" t="s">
        <v>562</v>
      </c>
      <c r="H56" s="35"/>
      <c r="I56" s="35"/>
      <c r="J56" s="37"/>
      <c r="K56" s="37"/>
      <c r="L56" s="37"/>
      <c r="M56" s="1" t="s">
        <v>565</v>
      </c>
      <c r="N56" s="1" t="s">
        <v>567</v>
      </c>
      <c r="O56" s="35"/>
    </row>
    <row r="57" spans="1:15">
      <c r="A57" s="33">
        <v>43862</v>
      </c>
      <c r="B57" s="35">
        <v>86893</v>
      </c>
      <c r="C57" s="35" t="s">
        <v>179</v>
      </c>
      <c r="D57" s="8" t="s">
        <v>23</v>
      </c>
      <c r="E57" s="9" t="s">
        <v>686</v>
      </c>
      <c r="F57" s="4" t="str">
        <f>HYPERLINK("https://stat100.ameba.jp/tnk47/ratio20/illustrations/card/ill_86893_0_chokonohisukeban03.jpg", "■")</f>
        <v>■</v>
      </c>
      <c r="G57" s="1" t="s">
        <v>575</v>
      </c>
      <c r="H57" s="35" t="s">
        <v>1230</v>
      </c>
      <c r="I57" s="35"/>
      <c r="J57" s="36" t="s">
        <v>1182</v>
      </c>
      <c r="K57" s="36" t="s">
        <v>1183</v>
      </c>
      <c r="L57" s="36" t="s">
        <v>1184</v>
      </c>
      <c r="M57" s="1" t="s">
        <v>577</v>
      </c>
      <c r="N57" s="1" t="s">
        <v>576</v>
      </c>
      <c r="O57" s="35" t="s">
        <v>1273</v>
      </c>
    </row>
    <row r="58" spans="1:15">
      <c r="A58" s="34"/>
      <c r="B58" s="35"/>
      <c r="C58" s="35"/>
      <c r="D58" s="8" t="s">
        <v>24</v>
      </c>
      <c r="E58" s="9" t="s">
        <v>687</v>
      </c>
      <c r="F58" s="4" t="str">
        <f>HYPERLINK("https://stat100.ameba.jp/tnk47/ratio20/illustrations/card/ill_86893_1_chokonohisukeban03.jpg", "■")</f>
        <v>■</v>
      </c>
      <c r="G58" s="1" t="s">
        <v>580</v>
      </c>
      <c r="H58" s="35"/>
      <c r="I58" s="35"/>
      <c r="J58" s="37"/>
      <c r="K58" s="37"/>
      <c r="L58" s="37"/>
      <c r="M58" s="1" t="s">
        <v>579</v>
      </c>
      <c r="N58" s="1" t="s">
        <v>578</v>
      </c>
      <c r="O58" s="35"/>
    </row>
    <row r="59" spans="1:15">
      <c r="A59" s="34"/>
      <c r="B59" s="35"/>
      <c r="C59" s="35"/>
      <c r="D59" s="8" t="s">
        <v>15</v>
      </c>
      <c r="E59" s="9" t="s">
        <v>688</v>
      </c>
      <c r="F59" s="4" t="str">
        <f>HYPERLINK("https://stat100.ameba.jp/tnk47/ratio20/illustrations/card/ill_86893_2_chokonohisukeban03.jpg", "■")</f>
        <v>■</v>
      </c>
      <c r="G59" s="1" t="s">
        <v>583</v>
      </c>
      <c r="H59" s="35"/>
      <c r="I59" s="35"/>
      <c r="J59" s="37"/>
      <c r="K59" s="37"/>
      <c r="L59" s="37"/>
      <c r="M59" s="1" t="s">
        <v>582</v>
      </c>
      <c r="N59" s="1" t="s">
        <v>581</v>
      </c>
      <c r="O59" s="35"/>
    </row>
    <row r="60" spans="1:15">
      <c r="A60" s="33">
        <v>43891</v>
      </c>
      <c r="B60" s="35">
        <v>87643</v>
      </c>
      <c r="C60" s="35" t="s">
        <v>179</v>
      </c>
      <c r="D60" s="8" t="s">
        <v>31</v>
      </c>
      <c r="E60" s="9" t="s">
        <v>689</v>
      </c>
      <c r="F60" s="4" t="str">
        <f>HYPERLINK("https://stat100.ameba.jp/tnk47/ratio20/illustrations/card/ill_87643_0_oendanotohime03.jpg", "■")</f>
        <v>■</v>
      </c>
      <c r="G60" s="6" t="s">
        <v>600</v>
      </c>
      <c r="H60" s="35"/>
      <c r="I60" s="35"/>
      <c r="J60" s="36" t="s">
        <v>988</v>
      </c>
      <c r="K60" s="36" t="s">
        <v>989</v>
      </c>
      <c r="L60" s="36" t="s">
        <v>990</v>
      </c>
      <c r="M60" s="6" t="s">
        <v>599</v>
      </c>
      <c r="N60" s="6" t="s">
        <v>598</v>
      </c>
      <c r="O60" s="35" t="s">
        <v>1274</v>
      </c>
    </row>
    <row r="61" spans="1:15">
      <c r="A61" s="34"/>
      <c r="B61" s="35"/>
      <c r="C61" s="35"/>
      <c r="D61" s="8" t="s">
        <v>8</v>
      </c>
      <c r="E61" s="9" t="s">
        <v>690</v>
      </c>
      <c r="F61" s="4" t="str">
        <f>HYPERLINK("https://stat100.ameba.jp/tnk47/ratio20/illustrations/card/ill_87643_1_oendanotohime03.jpg", "■")</f>
        <v>■</v>
      </c>
      <c r="G61" s="6" t="s">
        <v>603</v>
      </c>
      <c r="H61" s="35"/>
      <c r="I61" s="35"/>
      <c r="J61" s="37"/>
      <c r="K61" s="37"/>
      <c r="L61" s="37"/>
      <c r="M61" s="6" t="s">
        <v>602</v>
      </c>
      <c r="N61" s="6" t="s">
        <v>601</v>
      </c>
      <c r="O61" s="35"/>
    </row>
    <row r="62" spans="1:15">
      <c r="A62" s="34"/>
      <c r="B62" s="35"/>
      <c r="C62" s="35"/>
      <c r="D62" s="8" t="s">
        <v>42</v>
      </c>
      <c r="E62" s="9" t="s">
        <v>691</v>
      </c>
      <c r="F62" s="4" t="str">
        <f>HYPERLINK("https://stat100.ameba.jp/tnk47/ratio20/illustrations/card/ill_87643_2_oendanotohime03.jpg", "■")</f>
        <v>■</v>
      </c>
      <c r="G62" s="6" t="s">
        <v>606</v>
      </c>
      <c r="H62" s="35"/>
      <c r="I62" s="35"/>
      <c r="J62" s="37"/>
      <c r="K62" s="37"/>
      <c r="L62" s="37"/>
      <c r="M62" s="6" t="s">
        <v>605</v>
      </c>
      <c r="N62" s="6" t="s">
        <v>604</v>
      </c>
      <c r="O62" s="35"/>
    </row>
    <row r="63" spans="1:15">
      <c r="A63" s="33">
        <v>43922</v>
      </c>
      <c r="B63" s="35">
        <v>88363</v>
      </c>
      <c r="C63" s="35" t="s">
        <v>179</v>
      </c>
      <c r="D63" s="10" t="s">
        <v>62</v>
      </c>
      <c r="E63" s="9" t="s">
        <v>618</v>
      </c>
      <c r="F63" s="4" t="str">
        <f>HYPERLINK("https://stat100.ameba.jp/tnk47/ratio20/illustrations/card/ill_88363_0_hanamijingukogo03.jpg", "■")</f>
        <v>■</v>
      </c>
      <c r="G63" s="10" t="s">
        <v>621</v>
      </c>
      <c r="H63" s="35"/>
      <c r="I63" s="35"/>
      <c r="J63" s="36" t="s">
        <v>1109</v>
      </c>
      <c r="K63" s="36" t="s">
        <v>1110</v>
      </c>
      <c r="L63" s="36" t="s">
        <v>1111</v>
      </c>
      <c r="M63" s="10" t="s">
        <v>624</v>
      </c>
      <c r="N63" s="10" t="s">
        <v>625</v>
      </c>
      <c r="O63" s="35" t="s">
        <v>1274</v>
      </c>
    </row>
    <row r="64" spans="1:15">
      <c r="A64" s="34"/>
      <c r="B64" s="35"/>
      <c r="C64" s="35"/>
      <c r="D64" s="10" t="s">
        <v>93</v>
      </c>
      <c r="E64" s="9" t="s">
        <v>619</v>
      </c>
      <c r="F64" s="4" t="str">
        <f>HYPERLINK("https://stat100.ameba.jp/tnk47/ratio20/illustrations/card/ill_88363_1_hanamijingukogo03.jpg", "■")</f>
        <v>■</v>
      </c>
      <c r="G64" s="10" t="s">
        <v>622</v>
      </c>
      <c r="H64" s="35"/>
      <c r="I64" s="35"/>
      <c r="J64" s="37"/>
      <c r="K64" s="37"/>
      <c r="L64" s="37"/>
      <c r="M64" s="10" t="s">
        <v>626</v>
      </c>
      <c r="N64" s="10" t="s">
        <v>627</v>
      </c>
      <c r="O64" s="35"/>
    </row>
    <row r="65" spans="1:15">
      <c r="A65" s="34"/>
      <c r="B65" s="35"/>
      <c r="C65" s="35"/>
      <c r="D65" s="10" t="s">
        <v>617</v>
      </c>
      <c r="E65" s="9" t="s">
        <v>620</v>
      </c>
      <c r="F65" s="4" t="str">
        <f>HYPERLINK("https://stat100.ameba.jp/tnk47/ratio20/illustrations/card/ill_88363_2_hanamijingukogo03.jpg", "■")</f>
        <v>■</v>
      </c>
      <c r="G65" s="10" t="s">
        <v>623</v>
      </c>
      <c r="H65" s="35"/>
      <c r="I65" s="35"/>
      <c r="J65" s="37"/>
      <c r="K65" s="37"/>
      <c r="L65" s="37"/>
      <c r="M65" s="10" t="s">
        <v>628</v>
      </c>
      <c r="N65" s="10" t="s">
        <v>629</v>
      </c>
      <c r="O65" s="35"/>
    </row>
    <row r="66" spans="1:15">
      <c r="A66" s="33">
        <v>43952</v>
      </c>
      <c r="B66" s="35">
        <v>89073</v>
      </c>
      <c r="C66" s="35" t="s">
        <v>179</v>
      </c>
      <c r="D66" s="11" t="s">
        <v>24</v>
      </c>
      <c r="E66" s="9" t="s">
        <v>695</v>
      </c>
      <c r="F66" s="4" t="str">
        <f>HYPERLINK("https://stat100.ameba.jp/tnk47/ratio20/illustrations/card/ill_89073_0_efuwanresuyokohamaserachan03.jpg", "■")</f>
        <v>■</v>
      </c>
      <c r="G66" s="11" t="s">
        <v>696</v>
      </c>
      <c r="H66" s="35"/>
      <c r="I66" s="35"/>
      <c r="J66" s="36" t="s">
        <v>1100</v>
      </c>
      <c r="K66" s="36" t="s">
        <v>1159</v>
      </c>
      <c r="L66" s="36" t="s">
        <v>1160</v>
      </c>
      <c r="M66" s="11" t="s">
        <v>697</v>
      </c>
      <c r="N66" s="11" t="s">
        <v>698</v>
      </c>
      <c r="O66" s="38" t="s">
        <v>1275</v>
      </c>
    </row>
    <row r="67" spans="1:15">
      <c r="A67" s="34"/>
      <c r="B67" s="35"/>
      <c r="C67" s="35"/>
      <c r="D67" s="11" t="s">
        <v>51</v>
      </c>
      <c r="E67" s="9" t="s">
        <v>699</v>
      </c>
      <c r="F67" s="4" t="str">
        <f>HYPERLINK("https://stat100.ameba.jp/tnk47/ratio20/illustrations/card/ill_89073_1_efuwanresuyokohamaserachan03.jpg", "■")</f>
        <v>■</v>
      </c>
      <c r="G67" s="11" t="s">
        <v>700</v>
      </c>
      <c r="H67" s="35"/>
      <c r="I67" s="35"/>
      <c r="J67" s="37"/>
      <c r="K67" s="37"/>
      <c r="L67" s="37"/>
      <c r="M67" s="11" t="s">
        <v>701</v>
      </c>
      <c r="N67" s="11" t="s">
        <v>702</v>
      </c>
      <c r="O67" s="35"/>
    </row>
    <row r="68" spans="1:15">
      <c r="A68" s="34"/>
      <c r="B68" s="35"/>
      <c r="C68" s="35"/>
      <c r="D68" s="11" t="s">
        <v>31</v>
      </c>
      <c r="E68" s="9" t="s">
        <v>703</v>
      </c>
      <c r="F68" s="4" t="str">
        <f>HYPERLINK("https://stat100.ameba.jp/tnk47/ratio20/illustrations/card/ill_89073_2_efuwanresuyokohamaserachan03.jpg", "■")</f>
        <v>■</v>
      </c>
      <c r="G68" s="11" t="s">
        <v>704</v>
      </c>
      <c r="H68" s="35"/>
      <c r="I68" s="35"/>
      <c r="J68" s="37"/>
      <c r="K68" s="37"/>
      <c r="L68" s="37"/>
      <c r="M68" s="11" t="s">
        <v>705</v>
      </c>
      <c r="N68" s="11" t="s">
        <v>706</v>
      </c>
      <c r="O68" s="35"/>
    </row>
    <row r="69" spans="1:15">
      <c r="A69" s="33">
        <v>43983</v>
      </c>
      <c r="B69" s="35">
        <v>89703</v>
      </c>
      <c r="C69" s="35" t="s">
        <v>179</v>
      </c>
      <c r="D69" s="12" t="s">
        <v>825</v>
      </c>
      <c r="E69" s="9" t="s">
        <v>822</v>
      </c>
      <c r="F69" s="4" t="str">
        <f>HYPERLINK("https://stat100.ameba.jp/tnk47/ratio20/illustrations/card/ill_89703_0_jumburaidohimiko03.jpg", "■")</f>
        <v>■</v>
      </c>
      <c r="G69" s="12" t="s">
        <v>823</v>
      </c>
      <c r="H69" s="35"/>
      <c r="I69" s="35"/>
      <c r="J69" s="36" t="s">
        <v>1100</v>
      </c>
      <c r="K69" s="36" t="s">
        <v>1101</v>
      </c>
      <c r="L69" s="36" t="s">
        <v>1102</v>
      </c>
      <c r="M69" s="12" t="s">
        <v>824</v>
      </c>
      <c r="N69" s="12" t="s">
        <v>625</v>
      </c>
      <c r="O69" s="38" t="s">
        <v>1276</v>
      </c>
    </row>
    <row r="70" spans="1:15">
      <c r="A70" s="34"/>
      <c r="B70" s="35"/>
      <c r="C70" s="35"/>
      <c r="D70" s="12" t="s">
        <v>617</v>
      </c>
      <c r="E70" s="9" t="s">
        <v>826</v>
      </c>
      <c r="F70" s="4" t="str">
        <f>HYPERLINK("https://stat100.ameba.jp/tnk47/ratio20/illustrations/card/ill_89703_1_jumburaidohimiko03.jpg", "■")</f>
        <v>■</v>
      </c>
      <c r="G70" s="12" t="s">
        <v>827</v>
      </c>
      <c r="H70" s="35"/>
      <c r="I70" s="35"/>
      <c r="J70" s="37"/>
      <c r="K70" s="37"/>
      <c r="L70" s="37"/>
      <c r="M70" s="12" t="s">
        <v>828</v>
      </c>
      <c r="N70" s="12" t="s">
        <v>629</v>
      </c>
      <c r="O70" s="35"/>
    </row>
    <row r="71" spans="1:15">
      <c r="A71" s="34"/>
      <c r="B71" s="35"/>
      <c r="C71" s="35"/>
      <c r="D71" s="12" t="s">
        <v>23</v>
      </c>
      <c r="E71" s="9" t="s">
        <v>829</v>
      </c>
      <c r="F71" s="4" t="str">
        <f>HYPERLINK("https://stat100.ameba.jp/tnk47/ratio20/illustrations/card/ill_89703_2_jumburaidohimiko03.jpg", "■")</f>
        <v>■</v>
      </c>
      <c r="G71" s="12" t="s">
        <v>830</v>
      </c>
      <c r="H71" s="35"/>
      <c r="I71" s="35"/>
      <c r="J71" s="37"/>
      <c r="K71" s="37"/>
      <c r="L71" s="37"/>
      <c r="M71" s="12" t="s">
        <v>831</v>
      </c>
      <c r="N71" s="12" t="s">
        <v>627</v>
      </c>
      <c r="O71" s="35"/>
    </row>
    <row r="72" spans="1:15">
      <c r="A72" s="33">
        <v>44013</v>
      </c>
      <c r="B72" s="35">
        <v>90393</v>
      </c>
      <c r="C72" s="35" t="s">
        <v>179</v>
      </c>
      <c r="D72" s="13" t="s">
        <v>837</v>
      </c>
      <c r="E72" s="9" t="s">
        <v>850</v>
      </c>
      <c r="F72" s="4" t="str">
        <f>HYPERLINK("https://stat100.ameba.jp/tnk47/ratio20/illustrations/card/ill_90393_0_nangokubakansusanukiudonchan03.jpg", "■")</f>
        <v>■</v>
      </c>
      <c r="G72" s="13" t="s">
        <v>852</v>
      </c>
      <c r="H72" s="35"/>
      <c r="I72" s="35"/>
      <c r="J72" s="36" t="s">
        <v>1016</v>
      </c>
      <c r="K72" s="36" t="s">
        <v>1017</v>
      </c>
      <c r="L72" s="36" t="s">
        <v>1018</v>
      </c>
      <c r="M72" s="13" t="s">
        <v>853</v>
      </c>
      <c r="N72" s="13" t="s">
        <v>702</v>
      </c>
      <c r="O72" s="38" t="s">
        <v>1277</v>
      </c>
    </row>
    <row r="73" spans="1:15">
      <c r="A73" s="34"/>
      <c r="B73" s="35"/>
      <c r="C73" s="35"/>
      <c r="D73" s="13" t="s">
        <v>851</v>
      </c>
      <c r="E73" s="9" t="s">
        <v>854</v>
      </c>
      <c r="F73" s="4" t="str">
        <f>HYPERLINK("https://stat100.ameba.jp/tnk47/ratio20/illustrations/card/ill_90393_1_nangokubakansusanukiudonchan03.jpg", "■")</f>
        <v>■</v>
      </c>
      <c r="G73" s="13" t="s">
        <v>855</v>
      </c>
      <c r="H73" s="35"/>
      <c r="I73" s="35"/>
      <c r="J73" s="37"/>
      <c r="K73" s="37"/>
      <c r="L73" s="37"/>
      <c r="M73" s="13" t="s">
        <v>856</v>
      </c>
      <c r="N73" s="13" t="s">
        <v>706</v>
      </c>
      <c r="O73" s="35"/>
    </row>
    <row r="74" spans="1:15">
      <c r="A74" s="34"/>
      <c r="B74" s="35"/>
      <c r="C74" s="35"/>
      <c r="D74" s="13" t="s">
        <v>836</v>
      </c>
      <c r="E74" s="9" t="s">
        <v>857</v>
      </c>
      <c r="F74" s="4" t="str">
        <f>HYPERLINK("https://stat100.ameba.jp/tnk47/ratio20/illustrations/card/ill_90393_2_nangokubakansusanukiudonchan03.jpg", "■")</f>
        <v>■</v>
      </c>
      <c r="G74" s="13" t="s">
        <v>858</v>
      </c>
      <c r="H74" s="35"/>
      <c r="I74" s="35"/>
      <c r="J74" s="37"/>
      <c r="K74" s="37"/>
      <c r="L74" s="37"/>
      <c r="M74" s="13" t="s">
        <v>859</v>
      </c>
      <c r="N74" s="13" t="s">
        <v>698</v>
      </c>
      <c r="O74" s="35"/>
    </row>
    <row r="75" spans="1:15">
      <c r="A75" s="33">
        <v>44044</v>
      </c>
      <c r="B75" s="35">
        <v>91073</v>
      </c>
      <c r="C75" s="35" t="s">
        <v>179</v>
      </c>
      <c r="D75" s="13" t="s">
        <v>835</v>
      </c>
      <c r="E75" s="9" t="s">
        <v>845</v>
      </c>
      <c r="F75" s="4" t="str">
        <f>HYPERLINK("https://stat100.ameba.jp/tnk47/ratio20/illustrations/card/ill_91073_0_mizugiaidorusarukanigassen03.jpg", "■")</f>
        <v>■</v>
      </c>
      <c r="G75" s="13" t="s">
        <v>838</v>
      </c>
      <c r="H75" s="35"/>
      <c r="I75" s="35"/>
      <c r="J75" s="36" t="s">
        <v>1016</v>
      </c>
      <c r="K75" s="36" t="s">
        <v>1022</v>
      </c>
      <c r="L75" s="36" t="s">
        <v>1023</v>
      </c>
      <c r="M75" s="13" t="s">
        <v>839</v>
      </c>
      <c r="N75" s="13" t="s">
        <v>840</v>
      </c>
      <c r="O75" s="38" t="s">
        <v>1278</v>
      </c>
    </row>
    <row r="76" spans="1:15">
      <c r="A76" s="34"/>
      <c r="B76" s="35"/>
      <c r="C76" s="35"/>
      <c r="D76" s="13" t="s">
        <v>836</v>
      </c>
      <c r="E76" s="9" t="s">
        <v>844</v>
      </c>
      <c r="F76" s="4" t="str">
        <f>HYPERLINK("https://stat100.ameba.jp/tnk47/ratio20/illustrations/card/ill_91073_1_mizugiaidorusarukanigassen03.jpg", "■")</f>
        <v>■</v>
      </c>
      <c r="G76" s="13" t="s">
        <v>843</v>
      </c>
      <c r="H76" s="35"/>
      <c r="I76" s="35"/>
      <c r="J76" s="37"/>
      <c r="K76" s="37"/>
      <c r="L76" s="37"/>
      <c r="M76" s="13" t="s">
        <v>841</v>
      </c>
      <c r="N76" s="13" t="s">
        <v>842</v>
      </c>
      <c r="O76" s="35"/>
    </row>
    <row r="77" spans="1:15">
      <c r="A77" s="34"/>
      <c r="B77" s="35"/>
      <c r="C77" s="35"/>
      <c r="D77" s="13" t="s">
        <v>837</v>
      </c>
      <c r="E77" s="9" t="s">
        <v>846</v>
      </c>
      <c r="F77" s="4" t="str">
        <f>HYPERLINK("https://stat100.ameba.jp/tnk47/ratio20/illustrations/card/ill_91073_2_mizugiaidorusarukanigassen03.jpg", "■")</f>
        <v>■</v>
      </c>
      <c r="G77" s="13" t="s">
        <v>847</v>
      </c>
      <c r="H77" s="35"/>
      <c r="I77" s="35"/>
      <c r="J77" s="37"/>
      <c r="K77" s="37"/>
      <c r="L77" s="37"/>
      <c r="M77" s="13" t="s">
        <v>848</v>
      </c>
      <c r="N77" s="13" t="s">
        <v>849</v>
      </c>
      <c r="O77" s="35"/>
    </row>
    <row r="78" spans="1:15">
      <c r="A78" s="33">
        <v>44075</v>
      </c>
      <c r="B78" s="35">
        <v>91703</v>
      </c>
      <c r="C78" s="35" t="s">
        <v>179</v>
      </c>
      <c r="D78" s="14" t="s">
        <v>23</v>
      </c>
      <c r="E78" s="1" t="s">
        <v>878</v>
      </c>
      <c r="F78" s="4" t="str">
        <f>HYPERLINK("https://stat100.ameba.jp/tnk47/ratio20/illustrations/card/ill_91703_0_ninjashugyohanakosan03.jpg", "■")</f>
        <v>■</v>
      </c>
      <c r="G78" s="1" t="s">
        <v>877</v>
      </c>
      <c r="H78" s="35"/>
      <c r="I78" s="35"/>
      <c r="J78" s="36" t="s">
        <v>1019</v>
      </c>
      <c r="K78" s="36" t="s">
        <v>1092</v>
      </c>
      <c r="L78" s="36" t="s">
        <v>1093</v>
      </c>
      <c r="M78" s="1" t="s">
        <v>876</v>
      </c>
      <c r="N78" s="1" t="s">
        <v>875</v>
      </c>
      <c r="O78" s="38" t="s">
        <v>1279</v>
      </c>
    </row>
    <row r="79" spans="1:15">
      <c r="A79" s="34"/>
      <c r="B79" s="35"/>
      <c r="C79" s="35"/>
      <c r="D79" s="14" t="s">
        <v>617</v>
      </c>
      <c r="E79" s="1" t="s">
        <v>874</v>
      </c>
      <c r="F79" s="4" t="str">
        <f>HYPERLINK("https://stat100.ameba.jp/tnk47/ratio20/illustrations/card/ill_91703_1_ninjashugyohanakosan03.jpg", "■")</f>
        <v>■</v>
      </c>
      <c r="G79" s="14" t="s">
        <v>873</v>
      </c>
      <c r="H79" s="35"/>
      <c r="I79" s="35"/>
      <c r="J79" s="37"/>
      <c r="K79" s="37"/>
      <c r="L79" s="37"/>
      <c r="M79" s="14" t="s">
        <v>872</v>
      </c>
      <c r="N79" s="14" t="s">
        <v>871</v>
      </c>
      <c r="O79" s="35"/>
    </row>
    <row r="80" spans="1:15">
      <c r="A80" s="34"/>
      <c r="B80" s="35"/>
      <c r="C80" s="35"/>
      <c r="D80" s="14" t="s">
        <v>8</v>
      </c>
      <c r="E80" s="1" t="s">
        <v>867</v>
      </c>
      <c r="F80" s="4" t="str">
        <f>HYPERLINK("https://stat100.ameba.jp/tnk47/ratio20/illustrations/card/ill_91703_2_ninjashugyohanakosan03.jpg", "■")</f>
        <v>■</v>
      </c>
      <c r="G80" s="14" t="s">
        <v>868</v>
      </c>
      <c r="H80" s="35"/>
      <c r="I80" s="35"/>
      <c r="J80" s="37"/>
      <c r="K80" s="37"/>
      <c r="L80" s="37"/>
      <c r="M80" s="14" t="s">
        <v>870</v>
      </c>
      <c r="N80" s="14" t="s">
        <v>869</v>
      </c>
      <c r="O80" s="35"/>
    </row>
    <row r="81" spans="1:15">
      <c r="A81" s="33">
        <v>44105</v>
      </c>
      <c r="B81" s="35">
        <v>92403</v>
      </c>
      <c r="C81" s="35" t="s">
        <v>179</v>
      </c>
      <c r="D81" s="15" t="s">
        <v>885</v>
      </c>
      <c r="E81" s="15" t="s">
        <v>884</v>
      </c>
      <c r="F81" s="4" t="str">
        <f>HYPERLINK("https://stat100.ameba.jp/tnk47/ratio20/illustrations/card/ill_92403_0_haroimmochizukichiyome03.jpg", "■")</f>
        <v>■</v>
      </c>
      <c r="G81" s="15" t="s">
        <v>883</v>
      </c>
      <c r="H81" s="35"/>
      <c r="I81" s="35"/>
      <c r="J81" s="36" t="s">
        <v>940</v>
      </c>
      <c r="K81" s="36" t="s">
        <v>941</v>
      </c>
      <c r="L81" s="36" t="s">
        <v>942</v>
      </c>
      <c r="M81" s="15" t="s">
        <v>882</v>
      </c>
      <c r="N81" s="15" t="s">
        <v>881</v>
      </c>
      <c r="O81" s="38" t="s">
        <v>1280</v>
      </c>
    </row>
    <row r="82" spans="1:15">
      <c r="A82" s="34"/>
      <c r="B82" s="35"/>
      <c r="C82" s="35"/>
      <c r="D82" s="15" t="s">
        <v>890</v>
      </c>
      <c r="E82" s="15" t="s">
        <v>889</v>
      </c>
      <c r="F82" s="4" t="str">
        <f>HYPERLINK("https://stat100.ameba.jp/tnk47/ratio20/illustrations/card/ill_92403_1_haroimmochizukichiyome03.jpg", "■")</f>
        <v>■</v>
      </c>
      <c r="G82" s="15" t="s">
        <v>888</v>
      </c>
      <c r="H82" s="35"/>
      <c r="I82" s="35"/>
      <c r="J82" s="37"/>
      <c r="K82" s="37"/>
      <c r="L82" s="37"/>
      <c r="M82" s="15" t="s">
        <v>887</v>
      </c>
      <c r="N82" s="15" t="s">
        <v>886</v>
      </c>
      <c r="O82" s="35"/>
    </row>
    <row r="83" spans="1:15">
      <c r="A83" s="34"/>
      <c r="B83" s="35"/>
      <c r="C83" s="35"/>
      <c r="D83" s="15" t="s">
        <v>895</v>
      </c>
      <c r="E83" s="15" t="s">
        <v>894</v>
      </c>
      <c r="F83" s="4" t="str">
        <f>HYPERLINK("https://stat100.ameba.jp/tnk47/ratio20/illustrations/card/ill_92403_2_haroimmochizukichiyome03.jpg", "■")</f>
        <v>■</v>
      </c>
      <c r="G83" s="15" t="s">
        <v>893</v>
      </c>
      <c r="H83" s="35"/>
      <c r="I83" s="35"/>
      <c r="J83" s="37"/>
      <c r="K83" s="37"/>
      <c r="L83" s="37"/>
      <c r="M83" s="15" t="s">
        <v>892</v>
      </c>
      <c r="N83" s="15" t="s">
        <v>891</v>
      </c>
      <c r="O83" s="35"/>
    </row>
    <row r="84" spans="1:15">
      <c r="A84" s="33">
        <v>44136</v>
      </c>
      <c r="B84" s="35">
        <v>93683</v>
      </c>
      <c r="C84" s="35" t="s">
        <v>179</v>
      </c>
      <c r="D84" s="16" t="s">
        <v>15</v>
      </c>
      <c r="E84" s="16" t="s">
        <v>903</v>
      </c>
      <c r="F84" s="4" t="str">
        <f>HYPERLINK("https://stat100.ameba.jp/tnk47/ratio20/illustrations/card/ill_93683_0_yukemurionsenshirowainchan03.jpg", "■")</f>
        <v>■</v>
      </c>
      <c r="G84" s="16" t="s">
        <v>904</v>
      </c>
      <c r="H84" s="35"/>
      <c r="I84" s="35"/>
      <c r="J84" s="36" t="s">
        <v>1069</v>
      </c>
      <c r="K84" s="36" t="s">
        <v>1070</v>
      </c>
      <c r="L84" s="36" t="s">
        <v>1071</v>
      </c>
      <c r="M84" s="16" t="s">
        <v>905</v>
      </c>
      <c r="N84" s="16" t="s">
        <v>871</v>
      </c>
      <c r="O84" s="38" t="s">
        <v>1281</v>
      </c>
    </row>
    <row r="85" spans="1:15">
      <c r="A85" s="34"/>
      <c r="B85" s="35"/>
      <c r="C85" s="35"/>
      <c r="D85" s="16" t="s">
        <v>23</v>
      </c>
      <c r="E85" s="16" t="s">
        <v>908</v>
      </c>
      <c r="F85" s="4" t="str">
        <f>HYPERLINK("https://stat100.ameba.jp/tnk47/ratio20/illustrations/card/ill_93683_1_yukemurionsenshirowainchan03.jpg", "■")</f>
        <v>■</v>
      </c>
      <c r="G85" s="16" t="s">
        <v>907</v>
      </c>
      <c r="H85" s="35"/>
      <c r="I85" s="35"/>
      <c r="J85" s="37"/>
      <c r="K85" s="37"/>
      <c r="L85" s="37"/>
      <c r="M85" s="16" t="s">
        <v>906</v>
      </c>
      <c r="N85" s="16" t="s">
        <v>875</v>
      </c>
      <c r="O85" s="35"/>
    </row>
    <row r="86" spans="1:15">
      <c r="A86" s="34"/>
      <c r="B86" s="35"/>
      <c r="C86" s="35"/>
      <c r="D86" s="16" t="s">
        <v>825</v>
      </c>
      <c r="E86" s="16" t="s">
        <v>911</v>
      </c>
      <c r="F86" s="4" t="str">
        <f>HYPERLINK("https://stat100.ameba.jp/tnk47/ratio20/illustrations/card/ill_93683_2_yukemurionsenshirowainchan03.jpg", "■")</f>
        <v>■</v>
      </c>
      <c r="G86" s="16" t="s">
        <v>910</v>
      </c>
      <c r="H86" s="35"/>
      <c r="I86" s="35"/>
      <c r="J86" s="37"/>
      <c r="K86" s="37"/>
      <c r="L86" s="37"/>
      <c r="M86" s="16" t="s">
        <v>909</v>
      </c>
      <c r="N86" s="16" t="s">
        <v>869</v>
      </c>
      <c r="O86" s="35"/>
    </row>
    <row r="87" spans="1:15">
      <c r="A87" s="33">
        <v>44166</v>
      </c>
      <c r="B87" s="35">
        <v>94293</v>
      </c>
      <c r="C87" s="35" t="s">
        <v>179</v>
      </c>
      <c r="D87" s="17" t="s">
        <v>9</v>
      </c>
      <c r="E87" s="17" t="s">
        <v>918</v>
      </c>
      <c r="F87" s="4" t="str">
        <f>HYPERLINK("https://stat100.ameba.jp/tnk47/ratio20/illustrations/card/ill_94293_0_kurisumasupurezentofukudahideko03.jpg", "■")</f>
        <v>■</v>
      </c>
      <c r="G87" s="17" t="s">
        <v>917</v>
      </c>
      <c r="H87" s="35"/>
      <c r="I87" s="35"/>
      <c r="J87" s="36" t="s">
        <v>1019</v>
      </c>
      <c r="K87" s="36" t="s">
        <v>1020</v>
      </c>
      <c r="L87" s="36" t="s">
        <v>1021</v>
      </c>
      <c r="M87" s="17" t="s">
        <v>916</v>
      </c>
      <c r="N87" s="17" t="s">
        <v>915</v>
      </c>
      <c r="O87" s="38" t="s">
        <v>1282</v>
      </c>
    </row>
    <row r="88" spans="1:15">
      <c r="A88" s="34"/>
      <c r="B88" s="35"/>
      <c r="C88" s="35"/>
      <c r="D88" s="17" t="s">
        <v>825</v>
      </c>
      <c r="E88" s="17" t="s">
        <v>922</v>
      </c>
      <c r="F88" s="4" t="str">
        <f>HYPERLINK("https://stat100.ameba.jp/tnk47/ratio20/illustrations/card/ill_94293_1_kurisumasupurezentofukudahideko03.jpg", "■")</f>
        <v>■</v>
      </c>
      <c r="G88" s="17" t="s">
        <v>921</v>
      </c>
      <c r="H88" s="35"/>
      <c r="I88" s="35"/>
      <c r="J88" s="37"/>
      <c r="K88" s="37"/>
      <c r="L88" s="37"/>
      <c r="M88" s="17" t="s">
        <v>920</v>
      </c>
      <c r="N88" s="17" t="s">
        <v>919</v>
      </c>
      <c r="O88" s="35"/>
    </row>
    <row r="89" spans="1:15">
      <c r="A89" s="34"/>
      <c r="B89" s="35"/>
      <c r="C89" s="35"/>
      <c r="D89" s="17" t="s">
        <v>31</v>
      </c>
      <c r="E89" s="17" t="s">
        <v>926</v>
      </c>
      <c r="F89" s="4" t="str">
        <f>HYPERLINK("https://stat100.ameba.jp/tnk47/ratio20/illustrations/card/ill_94293_2_kurisumasupurezentofukudahideko03.jpg", "■")</f>
        <v>■</v>
      </c>
      <c r="G89" s="17" t="s">
        <v>925</v>
      </c>
      <c r="H89" s="35"/>
      <c r="I89" s="35"/>
      <c r="J89" s="37"/>
      <c r="K89" s="37"/>
      <c r="L89" s="37"/>
      <c r="M89" s="17" t="s">
        <v>924</v>
      </c>
      <c r="N89" s="17" t="s">
        <v>923</v>
      </c>
      <c r="O89" s="35"/>
    </row>
    <row r="90" spans="1:15">
      <c r="A90" s="33">
        <v>44197</v>
      </c>
      <c r="B90" s="35">
        <v>95013</v>
      </c>
      <c r="C90" s="35" t="s">
        <v>179</v>
      </c>
      <c r="D90" s="17" t="s">
        <v>931</v>
      </c>
      <c r="E90" s="17" t="s">
        <v>930</v>
      </c>
      <c r="F90" s="4" t="str">
        <f>HYPERLINK("https://stat100.ameba.jp/tnk47/ratio20/illustrations/card/ill_95013_0_shinshunnisennijuichiayakashi03.jpg", "■")</f>
        <v>■</v>
      </c>
      <c r="G90" s="17" t="s">
        <v>929</v>
      </c>
      <c r="H90" s="35"/>
      <c r="I90" s="35"/>
      <c r="J90" s="36" t="s">
        <v>1043</v>
      </c>
      <c r="K90" s="36" t="s">
        <v>1090</v>
      </c>
      <c r="L90" s="36" t="s">
        <v>1091</v>
      </c>
      <c r="M90" s="17" t="s">
        <v>928</v>
      </c>
      <c r="N90" s="17" t="s">
        <v>927</v>
      </c>
      <c r="O90" s="38" t="s">
        <v>1283</v>
      </c>
    </row>
    <row r="91" spans="1:15">
      <c r="A91" s="34"/>
      <c r="B91" s="35"/>
      <c r="C91" s="35"/>
      <c r="D91" s="17" t="s">
        <v>10</v>
      </c>
      <c r="E91" s="17" t="s">
        <v>935</v>
      </c>
      <c r="F91" s="4" t="str">
        <f>HYPERLINK("https://stat100.ameba.jp/tnk47/ratio20/illustrations/card/ill_95013_1_shinshunnisennijuichiayakashi03.jpg", "■")</f>
        <v>■</v>
      </c>
      <c r="G91" s="17" t="s">
        <v>934</v>
      </c>
      <c r="H91" s="35"/>
      <c r="I91" s="35"/>
      <c r="J91" s="37"/>
      <c r="K91" s="37"/>
      <c r="L91" s="37"/>
      <c r="M91" s="17" t="s">
        <v>933</v>
      </c>
      <c r="N91" s="17" t="s">
        <v>932</v>
      </c>
      <c r="O91" s="35"/>
    </row>
    <row r="92" spans="1:15">
      <c r="A92" s="34"/>
      <c r="B92" s="35"/>
      <c r="C92" s="35"/>
      <c r="D92" s="17" t="s">
        <v>617</v>
      </c>
      <c r="E92" s="17" t="s">
        <v>939</v>
      </c>
      <c r="F92" s="4" t="str">
        <f>HYPERLINK("https://stat100.ameba.jp/tnk47/ratio20/illustrations/card/ill_95013_2_shinshunnisennijuichiayakashi03.jpg", "■")</f>
        <v>■</v>
      </c>
      <c r="G92" s="17" t="s">
        <v>938</v>
      </c>
      <c r="H92" s="35"/>
      <c r="I92" s="35"/>
      <c r="J92" s="37"/>
      <c r="K92" s="37"/>
      <c r="L92" s="37"/>
      <c r="M92" s="17" t="s">
        <v>937</v>
      </c>
      <c r="N92" s="17" t="s">
        <v>936</v>
      </c>
      <c r="O92" s="35"/>
    </row>
    <row r="93" spans="1:15">
      <c r="A93" s="33">
        <v>44228</v>
      </c>
      <c r="B93" s="35">
        <v>95653</v>
      </c>
      <c r="C93" s="35" t="s">
        <v>179</v>
      </c>
      <c r="D93" s="18" t="s">
        <v>23</v>
      </c>
      <c r="E93" s="18" t="s">
        <v>943</v>
      </c>
      <c r="F93" s="4" t="str">
        <f>HYPERLINK("https://stat100.ameba.jp/tnk47/ratio20/illustrations/card/ill_95653_0_barentaindefukuhime03.jpg", "■")</f>
        <v>■</v>
      </c>
      <c r="G93" s="18" t="s">
        <v>945</v>
      </c>
      <c r="H93" s="35"/>
      <c r="I93" s="35"/>
      <c r="J93" s="36" t="s">
        <v>1043</v>
      </c>
      <c r="K93" s="36" t="s">
        <v>1045</v>
      </c>
      <c r="L93" s="36" t="s">
        <v>1044</v>
      </c>
      <c r="M93" s="18" t="s">
        <v>944</v>
      </c>
      <c r="N93" s="18" t="s">
        <v>923</v>
      </c>
      <c r="O93" s="38" t="s">
        <v>1284</v>
      </c>
    </row>
    <row r="94" spans="1:15">
      <c r="A94" s="34"/>
      <c r="B94" s="35"/>
      <c r="C94" s="35"/>
      <c r="D94" s="18" t="s">
        <v>9</v>
      </c>
      <c r="E94" s="18" t="s">
        <v>948</v>
      </c>
      <c r="F94" s="4" t="str">
        <f>HYPERLINK("https://stat100.ameba.jp/tnk47/ratio20/illustrations/card/ill_95653_1_barentaindefukuhime03.jpg", "■")</f>
        <v>■</v>
      </c>
      <c r="G94" s="18" t="s">
        <v>947</v>
      </c>
      <c r="H94" s="35"/>
      <c r="I94" s="35"/>
      <c r="J94" s="37"/>
      <c r="K94" s="37"/>
      <c r="L94" s="37"/>
      <c r="M94" s="18" t="s">
        <v>946</v>
      </c>
      <c r="N94" s="18" t="s">
        <v>915</v>
      </c>
      <c r="O94" s="35"/>
    </row>
    <row r="95" spans="1:15">
      <c r="A95" s="34"/>
      <c r="B95" s="35"/>
      <c r="C95" s="35"/>
      <c r="D95" s="18" t="s">
        <v>8</v>
      </c>
      <c r="E95" s="18" t="s">
        <v>951</v>
      </c>
      <c r="F95" s="4" t="str">
        <f>HYPERLINK("https://stat100.ameba.jp/tnk47/ratio20/illustrations/card/ill_95653_2_barentaindefukuhime03.jpg", "■")</f>
        <v>■</v>
      </c>
      <c r="G95" s="18" t="s">
        <v>950</v>
      </c>
      <c r="H95" s="35"/>
      <c r="I95" s="35"/>
      <c r="J95" s="37"/>
      <c r="K95" s="37"/>
      <c r="L95" s="37"/>
      <c r="M95" s="18" t="s">
        <v>949</v>
      </c>
      <c r="N95" s="18" t="s">
        <v>919</v>
      </c>
      <c r="O95" s="35"/>
    </row>
    <row r="96" spans="1:15">
      <c r="A96" s="33">
        <v>44256</v>
      </c>
      <c r="B96" s="35">
        <v>96373</v>
      </c>
      <c r="C96" s="35" t="s">
        <v>179</v>
      </c>
      <c r="D96" s="19" t="s">
        <v>417</v>
      </c>
      <c r="E96" s="19" t="s">
        <v>974</v>
      </c>
      <c r="F96" s="4" t="str">
        <f>HYPERLINK("https://stat100.ameba.jp/tnk47/ratio20/illustrations/card/ill_96373_0_ohinasamaakitakomachichan03.jp", "■")</f>
        <v>■</v>
      </c>
      <c r="G96" s="19" t="s">
        <v>973</v>
      </c>
      <c r="H96" s="35"/>
      <c r="I96" s="35"/>
      <c r="J96" s="36" t="s">
        <v>1043</v>
      </c>
      <c r="K96" s="36" t="s">
        <v>1044</v>
      </c>
      <c r="L96" s="36" t="s">
        <v>1045</v>
      </c>
      <c r="M96" s="19" t="s">
        <v>972</v>
      </c>
      <c r="N96" s="19" t="s">
        <v>936</v>
      </c>
      <c r="O96" s="38" t="s">
        <v>1285</v>
      </c>
    </row>
    <row r="97" spans="1:15">
      <c r="A97" s="34"/>
      <c r="B97" s="35"/>
      <c r="C97" s="35"/>
      <c r="D97" s="19" t="s">
        <v>825</v>
      </c>
      <c r="E97" s="19" t="s">
        <v>977</v>
      </c>
      <c r="F97" s="4" t="str">
        <f>HYPERLINK("https://stat100.ameba.jp/tnk47/ratio20/illustrations/card/ill_96373_1_ohinasamaakitakomachichan03.jpg", "■")</f>
        <v>■</v>
      </c>
      <c r="G97" s="19" t="s">
        <v>976</v>
      </c>
      <c r="H97" s="35"/>
      <c r="I97" s="35"/>
      <c r="J97" s="37"/>
      <c r="K97" s="37"/>
      <c r="L97" s="37"/>
      <c r="M97" s="19" t="s">
        <v>975</v>
      </c>
      <c r="N97" s="19" t="s">
        <v>927</v>
      </c>
      <c r="O97" s="35"/>
    </row>
    <row r="98" spans="1:15">
      <c r="A98" s="34"/>
      <c r="B98" s="35"/>
      <c r="C98" s="35"/>
      <c r="D98" s="19" t="s">
        <v>979</v>
      </c>
      <c r="E98" s="19" t="s">
        <v>981</v>
      </c>
      <c r="F98" s="4" t="str">
        <f>HYPERLINK("https://stat100.ameba.jp/tnk47/ratio20/illustrations/card/ill_96373_2_ohinasamaakitakomachichan03.jpg", "■")</f>
        <v>■</v>
      </c>
      <c r="G98" s="19" t="s">
        <v>980</v>
      </c>
      <c r="H98" s="35"/>
      <c r="I98" s="35"/>
      <c r="J98" s="37"/>
      <c r="K98" s="37"/>
      <c r="L98" s="37"/>
      <c r="M98" s="19" t="s">
        <v>978</v>
      </c>
      <c r="N98" s="19" t="s">
        <v>932</v>
      </c>
      <c r="O98" s="35"/>
    </row>
    <row r="99" spans="1:15">
      <c r="A99" s="33">
        <v>44287</v>
      </c>
      <c r="B99" s="35">
        <v>97013</v>
      </c>
      <c r="C99" s="35" t="s">
        <v>179</v>
      </c>
      <c r="D99" s="20" t="s">
        <v>931</v>
      </c>
      <c r="E99" s="20" t="s">
        <v>994</v>
      </c>
      <c r="F99" s="4" t="str">
        <f>HYPERLINK("https://stat100.ameba.jp/tnk47/ratio20/illustrations/card/ill_97013_0_kanokaishiranui03.jpg", "■")</f>
        <v>■</v>
      </c>
      <c r="G99" s="20" t="s">
        <v>993</v>
      </c>
      <c r="H99" s="35"/>
      <c r="I99" s="35"/>
      <c r="J99" s="36" t="s">
        <v>1043</v>
      </c>
      <c r="K99" s="36" t="s">
        <v>1098</v>
      </c>
      <c r="L99" s="36" t="s">
        <v>1099</v>
      </c>
      <c r="M99" s="20" t="s">
        <v>992</v>
      </c>
      <c r="N99" s="20" t="s">
        <v>991</v>
      </c>
      <c r="O99" s="38" t="s">
        <v>1286</v>
      </c>
    </row>
    <row r="100" spans="1:15">
      <c r="A100" s="34"/>
      <c r="B100" s="35"/>
      <c r="C100" s="35"/>
      <c r="D100" s="20" t="s">
        <v>9</v>
      </c>
      <c r="E100" s="20" t="s">
        <v>998</v>
      </c>
      <c r="F100" s="4" t="str">
        <f>HYPERLINK("https://stat100.ameba.jp/tnk47/ratio20/illustrations/card/ill_97013_1_kanokaishiranui03.jpg", "■")</f>
        <v>■</v>
      </c>
      <c r="G100" s="20" t="s">
        <v>997</v>
      </c>
      <c r="H100" s="35"/>
      <c r="I100" s="35"/>
      <c r="J100" s="37"/>
      <c r="K100" s="37"/>
      <c r="L100" s="37"/>
      <c r="M100" s="20" t="s">
        <v>996</v>
      </c>
      <c r="N100" s="20" t="s">
        <v>995</v>
      </c>
      <c r="O100" s="35"/>
    </row>
    <row r="101" spans="1:15">
      <c r="A101" s="34"/>
      <c r="B101" s="35"/>
      <c r="C101" s="35"/>
      <c r="D101" s="20" t="s">
        <v>10</v>
      </c>
      <c r="E101" s="20" t="s">
        <v>1002</v>
      </c>
      <c r="F101" s="4" t="str">
        <f>HYPERLINK("https://stat100.ameba.jp/tnk47/ratio20/illustrations/card/ill_97013_2_kanokaishiranui03.jpg", "■")</f>
        <v>■</v>
      </c>
      <c r="G101" s="20" t="s">
        <v>1001</v>
      </c>
      <c r="H101" s="35"/>
      <c r="I101" s="35"/>
      <c r="J101" s="37"/>
      <c r="K101" s="37"/>
      <c r="L101" s="37"/>
      <c r="M101" s="20" t="s">
        <v>1000</v>
      </c>
      <c r="N101" s="20" t="s">
        <v>999</v>
      </c>
      <c r="O101" s="35"/>
    </row>
    <row r="102" spans="1:15">
      <c r="A102" s="33">
        <v>44317</v>
      </c>
      <c r="B102" s="35">
        <v>97703</v>
      </c>
      <c r="C102" s="35" t="s">
        <v>179</v>
      </c>
      <c r="D102" s="21" t="s">
        <v>1048</v>
      </c>
      <c r="E102" s="21" t="s">
        <v>1051</v>
      </c>
      <c r="F102" s="4" t="str">
        <f>HYPERLINK("https://stat100.ameba.jp/tnk47/ratio20/illustrations/card/ill_97703_0_shisutatachibanaginchiyo03.jpg", "■")</f>
        <v>■</v>
      </c>
      <c r="G102" s="21" t="s">
        <v>1050</v>
      </c>
      <c r="H102" s="35"/>
      <c r="I102" s="35"/>
      <c r="J102" s="36" t="s">
        <v>1144</v>
      </c>
      <c r="K102" s="36" t="s">
        <v>1165</v>
      </c>
      <c r="L102" s="36" t="s">
        <v>1166</v>
      </c>
      <c r="M102" s="21" t="s">
        <v>1049</v>
      </c>
      <c r="N102" s="21" t="s">
        <v>1027</v>
      </c>
      <c r="O102" s="38" t="s">
        <v>1287</v>
      </c>
    </row>
    <row r="103" spans="1:15">
      <c r="A103" s="34"/>
      <c r="B103" s="35"/>
      <c r="C103" s="35"/>
      <c r="D103" s="21" t="s">
        <v>617</v>
      </c>
      <c r="E103" s="21" t="s">
        <v>1054</v>
      </c>
      <c r="F103" s="4" t="str">
        <f>HYPERLINK("https://stat100.ameba.jp/tnk47/ratio20/illustrations/card/ill_97703_1_shisutatachibanaginchiyo03.jpg", "■")</f>
        <v>■</v>
      </c>
      <c r="G103" s="21" t="s">
        <v>1053</v>
      </c>
      <c r="H103" s="35"/>
      <c r="I103" s="35"/>
      <c r="J103" s="37"/>
      <c r="K103" s="37"/>
      <c r="L103" s="37"/>
      <c r="M103" s="21" t="s">
        <v>1052</v>
      </c>
      <c r="N103" s="21" t="s">
        <v>1031</v>
      </c>
      <c r="O103" s="35"/>
    </row>
    <row r="104" spans="1:15">
      <c r="A104" s="34"/>
      <c r="B104" s="35"/>
      <c r="C104" s="35"/>
      <c r="D104" s="21" t="s">
        <v>825</v>
      </c>
      <c r="E104" s="21" t="s">
        <v>1057</v>
      </c>
      <c r="F104" s="4" t="str">
        <f>HYPERLINK("https://stat100.ameba.jp/tnk47/ratio20/illustrations/card/ill_97703_2_shisutatachibanaginchiyo03.jpg", "■")</f>
        <v>■</v>
      </c>
      <c r="G104" s="21" t="s">
        <v>1056</v>
      </c>
      <c r="H104" s="35"/>
      <c r="I104" s="35"/>
      <c r="J104" s="37"/>
      <c r="K104" s="37"/>
      <c r="L104" s="37"/>
      <c r="M104" s="21" t="s">
        <v>1055</v>
      </c>
      <c r="N104" s="21" t="s">
        <v>1035</v>
      </c>
      <c r="O104" s="35"/>
    </row>
    <row r="105" spans="1:15">
      <c r="A105" s="33">
        <v>44348</v>
      </c>
      <c r="B105" s="35">
        <v>98393</v>
      </c>
      <c r="C105" s="35" t="s">
        <v>179</v>
      </c>
      <c r="D105" s="21" t="s">
        <v>979</v>
      </c>
      <c r="E105" s="21" t="s">
        <v>1060</v>
      </c>
      <c r="F105" s="4" t="str">
        <f>HYPERLINK("https://stat100.ameba.jp/tnk47/ratio20/illustrations/card/ill_98393_0_yuembiyorikingyonota03.jpg", "■")</f>
        <v>■</v>
      </c>
      <c r="G105" s="21" t="s">
        <v>1059</v>
      </c>
      <c r="H105" s="35"/>
      <c r="I105" s="35"/>
      <c r="J105" s="36" t="s">
        <v>1144</v>
      </c>
      <c r="K105" s="36" t="s">
        <v>1145</v>
      </c>
      <c r="L105" s="36" t="s">
        <v>1146</v>
      </c>
      <c r="M105" s="21" t="s">
        <v>1058</v>
      </c>
      <c r="N105" s="21" t="s">
        <v>999</v>
      </c>
      <c r="O105" s="38" t="s">
        <v>1288</v>
      </c>
    </row>
    <row r="106" spans="1:15">
      <c r="A106" s="34"/>
      <c r="B106" s="35"/>
      <c r="C106" s="35"/>
      <c r="D106" s="21" t="s">
        <v>1037</v>
      </c>
      <c r="E106" s="21" t="s">
        <v>1063</v>
      </c>
      <c r="F106" s="4" t="str">
        <f>HYPERLINK("https://stat100.ameba.jp/tnk47/ratio20/illustrations/card/ill_98393_1_yuembiyorikingyonota03.jpg", "■")</f>
        <v>■</v>
      </c>
      <c r="G106" s="21" t="s">
        <v>1062</v>
      </c>
      <c r="H106" s="35"/>
      <c r="I106" s="35"/>
      <c r="J106" s="37"/>
      <c r="K106" s="37"/>
      <c r="L106" s="37"/>
      <c r="M106" s="21" t="s">
        <v>1061</v>
      </c>
      <c r="N106" s="21" t="s">
        <v>991</v>
      </c>
      <c r="O106" s="35"/>
    </row>
    <row r="107" spans="1:15">
      <c r="A107" s="34"/>
      <c r="B107" s="35"/>
      <c r="C107" s="35"/>
      <c r="D107" s="21" t="s">
        <v>417</v>
      </c>
      <c r="E107" s="21" t="s">
        <v>1066</v>
      </c>
      <c r="F107" s="4" t="str">
        <f>HYPERLINK("https://stat100.ameba.jp/tnk47/ratio20/illustrations/card/ill_98393_2_yuembiyorikingyonota03.jpg", "■")</f>
        <v>■</v>
      </c>
      <c r="G107" s="21" t="s">
        <v>1065</v>
      </c>
      <c r="H107" s="35"/>
      <c r="I107" s="35"/>
      <c r="J107" s="37"/>
      <c r="K107" s="37"/>
      <c r="L107" s="37"/>
      <c r="M107" s="21" t="s">
        <v>1064</v>
      </c>
      <c r="N107" s="21" t="s">
        <v>995</v>
      </c>
      <c r="O107" s="35"/>
    </row>
    <row r="108" spans="1:15">
      <c r="A108" s="33">
        <v>44378</v>
      </c>
      <c r="B108" s="35">
        <v>99033</v>
      </c>
      <c r="C108" s="35" t="s">
        <v>179</v>
      </c>
      <c r="D108" s="21" t="s">
        <v>10</v>
      </c>
      <c r="E108" s="21" t="s">
        <v>1030</v>
      </c>
      <c r="F108" s="4" t="str">
        <f>HYPERLINK("https://stat100.ameba.jp/tnk47/ratio20/illustrations/card/ill_99033_0_uminoiehangakugozen03.jpg", "■")</f>
        <v>■</v>
      </c>
      <c r="G108" s="21" t="s">
        <v>1029</v>
      </c>
      <c r="H108" s="35"/>
      <c r="I108" s="35"/>
      <c r="J108" s="36" t="s">
        <v>1041</v>
      </c>
      <c r="K108" s="36" t="s">
        <v>1040</v>
      </c>
      <c r="L108" s="36" t="s">
        <v>1042</v>
      </c>
      <c r="M108" s="21" t="s">
        <v>1028</v>
      </c>
      <c r="N108" s="21" t="s">
        <v>1027</v>
      </c>
      <c r="O108" s="38" t="s">
        <v>1289</v>
      </c>
    </row>
    <row r="109" spans="1:15">
      <c r="A109" s="34"/>
      <c r="B109" s="35"/>
      <c r="C109" s="35"/>
      <c r="D109" s="21" t="s">
        <v>9</v>
      </c>
      <c r="E109" s="21" t="s">
        <v>1034</v>
      </c>
      <c r="F109" s="4" t="str">
        <f>HYPERLINK("https://stat100.ameba.jp/tnk47/ratio20/illustrations/card/ill_99033_1_uminoiehangakugozen03.jpg", "■")</f>
        <v>■</v>
      </c>
      <c r="G109" s="21" t="s">
        <v>1033</v>
      </c>
      <c r="H109" s="35"/>
      <c r="I109" s="35"/>
      <c r="J109" s="37"/>
      <c r="K109" s="37"/>
      <c r="L109" s="37"/>
      <c r="M109" s="21" t="s">
        <v>1032</v>
      </c>
      <c r="N109" s="21" t="s">
        <v>1031</v>
      </c>
      <c r="O109" s="35"/>
    </row>
    <row r="110" spans="1:15">
      <c r="A110" s="34"/>
      <c r="B110" s="35"/>
      <c r="C110" s="35"/>
      <c r="D110" s="21" t="s">
        <v>1037</v>
      </c>
      <c r="E110" s="21" t="s">
        <v>1039</v>
      </c>
      <c r="F110" s="4" t="str">
        <f>HYPERLINK("https://stat100.ameba.jp/tnk47/ratio20/illustrations/card/ill_99033_2_uminoiehangakugozen03.jpg", "■")</f>
        <v>■</v>
      </c>
      <c r="G110" s="21" t="s">
        <v>1038</v>
      </c>
      <c r="H110" s="35"/>
      <c r="I110" s="35"/>
      <c r="J110" s="37"/>
      <c r="K110" s="37"/>
      <c r="L110" s="37"/>
      <c r="M110" s="21" t="s">
        <v>1036</v>
      </c>
      <c r="N110" s="21" t="s">
        <v>1035</v>
      </c>
      <c r="O110" s="35"/>
    </row>
    <row r="111" spans="1:15">
      <c r="A111" s="33">
        <v>44409</v>
      </c>
      <c r="B111" s="35">
        <v>99723</v>
      </c>
      <c r="C111" s="35" t="s">
        <v>179</v>
      </c>
      <c r="D111" s="22" t="s">
        <v>617</v>
      </c>
      <c r="E111" s="22" t="s">
        <v>1079</v>
      </c>
      <c r="F111" s="4" t="str">
        <f>HYPERLINK("https://stat100.ameba.jp/tnk47/ratio20/illustrations/card/ill_99723_0_natsuyomatsurisuzaku03.jpg", "■")</f>
        <v>■</v>
      </c>
      <c r="G111" s="22" t="s">
        <v>1078</v>
      </c>
      <c r="H111" s="35"/>
      <c r="I111" s="35"/>
      <c r="J111" s="36" t="s">
        <v>1144</v>
      </c>
      <c r="K111" s="36" t="s">
        <v>1180</v>
      </c>
      <c r="L111" s="36" t="s">
        <v>1181</v>
      </c>
      <c r="M111" s="22" t="s">
        <v>1077</v>
      </c>
      <c r="N111" s="22" t="s">
        <v>995</v>
      </c>
      <c r="O111" s="38" t="s">
        <v>1290</v>
      </c>
    </row>
    <row r="112" spans="1:15">
      <c r="A112" s="34"/>
      <c r="B112" s="35"/>
      <c r="C112" s="35"/>
      <c r="D112" s="22" t="s">
        <v>1048</v>
      </c>
      <c r="E112" s="22" t="s">
        <v>1082</v>
      </c>
      <c r="F112" s="4" t="str">
        <f>HYPERLINK("https://stat100.ameba.jp/tnk47/ratio20/illustrations/card/ill_99723_1_natsuyomatsurisuzaku03.jpg", "■")</f>
        <v>■</v>
      </c>
      <c r="G112" s="22" t="s">
        <v>1081</v>
      </c>
      <c r="H112" s="35"/>
      <c r="I112" s="35"/>
      <c r="J112" s="37"/>
      <c r="K112" s="37"/>
      <c r="L112" s="37"/>
      <c r="M112" s="22" t="s">
        <v>1080</v>
      </c>
      <c r="N112" s="22" t="s">
        <v>999</v>
      </c>
      <c r="O112" s="35"/>
    </row>
    <row r="113" spans="1:15">
      <c r="A113" s="34"/>
      <c r="B113" s="35"/>
      <c r="C113" s="35"/>
      <c r="D113" s="22" t="s">
        <v>931</v>
      </c>
      <c r="E113" s="22" t="s">
        <v>1086</v>
      </c>
      <c r="F113" s="4" t="str">
        <f>HYPERLINK("https://stat100.ameba.jp/tnk47/ratio20/illustrations/card/ill_99723_2_natsuyomatsurisuzaku03.jpg", "■")</f>
        <v>■</v>
      </c>
      <c r="G113" s="22" t="s">
        <v>1085</v>
      </c>
      <c r="H113" s="35"/>
      <c r="I113" s="35"/>
      <c r="J113" s="37"/>
      <c r="K113" s="37"/>
      <c r="L113" s="37"/>
      <c r="M113" s="22" t="s">
        <v>1084</v>
      </c>
      <c r="N113" s="28" t="s">
        <v>1083</v>
      </c>
      <c r="O113" s="35"/>
    </row>
    <row r="114" spans="1:15">
      <c r="A114" s="33">
        <v>44440</v>
      </c>
      <c r="B114" s="35">
        <v>200363</v>
      </c>
      <c r="C114" s="35" t="s">
        <v>179</v>
      </c>
      <c r="D114" s="23" t="s">
        <v>1048</v>
      </c>
      <c r="E114" s="23" t="s">
        <v>1132</v>
      </c>
      <c r="F114" s="4" t="str">
        <f>HYPERLINK("https://stat100.ameba.jp/tnk47/ratio20/illustrations/card/ill_200363_0_shukuenkiyohime03.jpg", "■")</f>
        <v>■</v>
      </c>
      <c r="G114" s="23" t="s">
        <v>1133</v>
      </c>
      <c r="H114" s="35"/>
      <c r="I114" s="35"/>
      <c r="J114" s="36">
        <v>35</v>
      </c>
      <c r="K114" s="36">
        <v>325057</v>
      </c>
      <c r="L114" s="36">
        <v>359621</v>
      </c>
      <c r="M114" s="23" t="s">
        <v>1135</v>
      </c>
      <c r="N114" s="23" t="s">
        <v>1134</v>
      </c>
      <c r="O114" s="38" t="s">
        <v>1291</v>
      </c>
    </row>
    <row r="115" spans="1:15">
      <c r="A115" s="34"/>
      <c r="B115" s="35"/>
      <c r="C115" s="35"/>
      <c r="D115" s="23" t="s">
        <v>417</v>
      </c>
      <c r="E115" s="23" t="s">
        <v>1139</v>
      </c>
      <c r="F115" s="4" t="str">
        <f>HYPERLINK("https://stat100.ameba.jp/tnk47/ratio20/illustrations/card/ill_200363_1_shukuenkiyohime03.jpg", "■")</f>
        <v>■</v>
      </c>
      <c r="G115" s="23" t="s">
        <v>1138</v>
      </c>
      <c r="H115" s="35"/>
      <c r="I115" s="35"/>
      <c r="J115" s="37"/>
      <c r="K115" s="37"/>
      <c r="L115" s="37"/>
      <c r="M115" s="23" t="s">
        <v>1137</v>
      </c>
      <c r="N115" s="23" t="s">
        <v>1136</v>
      </c>
      <c r="O115" s="35"/>
    </row>
    <row r="116" spans="1:15">
      <c r="A116" s="34"/>
      <c r="B116" s="35"/>
      <c r="C116" s="35"/>
      <c r="D116" s="23" t="s">
        <v>931</v>
      </c>
      <c r="E116" s="23" t="s">
        <v>1143</v>
      </c>
      <c r="F116" s="4" t="str">
        <f>HYPERLINK("https://stat100.ameba.jp/tnk47/ratio20/illustrations/card/ill_200363_2_shukuenkiyohime03.jpg", "■")</f>
        <v>■</v>
      </c>
      <c r="G116" s="23" t="s">
        <v>1142</v>
      </c>
      <c r="H116" s="35"/>
      <c r="I116" s="35"/>
      <c r="J116" s="37"/>
      <c r="K116" s="37"/>
      <c r="L116" s="37"/>
      <c r="M116" s="23" t="s">
        <v>1141</v>
      </c>
      <c r="N116" s="29" t="s">
        <v>1140</v>
      </c>
      <c r="O116" s="35"/>
    </row>
    <row r="117" spans="1:15">
      <c r="A117" s="33">
        <v>44470</v>
      </c>
      <c r="B117" s="35">
        <v>201033</v>
      </c>
      <c r="C117" s="35" t="s">
        <v>179</v>
      </c>
      <c r="D117" s="23" t="s">
        <v>979</v>
      </c>
      <c r="E117" s="23" t="s">
        <v>1123</v>
      </c>
      <c r="F117" s="4" t="str">
        <f>HYPERLINK("https://stat100.ameba.jp/tnk47/ratio20/illustrations/card/ill_201033_0_haroinresshaarisu03.jpg", "■")</f>
        <v>■</v>
      </c>
      <c r="G117" s="23" t="s">
        <v>1122</v>
      </c>
      <c r="H117" s="35"/>
      <c r="I117" s="35"/>
      <c r="J117" s="36" t="s">
        <v>1150</v>
      </c>
      <c r="K117" s="36" t="s">
        <v>1152</v>
      </c>
      <c r="L117" s="36" t="s">
        <v>1151</v>
      </c>
      <c r="M117" s="23" t="s">
        <v>1121</v>
      </c>
      <c r="N117" s="23" t="s">
        <v>1120</v>
      </c>
      <c r="O117" s="38" t="s">
        <v>1292</v>
      </c>
    </row>
    <row r="118" spans="1:15">
      <c r="A118" s="34"/>
      <c r="B118" s="35"/>
      <c r="C118" s="35"/>
      <c r="D118" s="23" t="s">
        <v>617</v>
      </c>
      <c r="E118" s="23" t="s">
        <v>1125</v>
      </c>
      <c r="F118" s="4" t="str">
        <f>HYPERLINK("https://stat100.ameba.jp/tnk47/ratio20/illustrations/card/ill_201033_1_haroinresshaarisu03.jpg", "■")</f>
        <v>■</v>
      </c>
      <c r="G118" s="23" t="s">
        <v>1124</v>
      </c>
      <c r="H118" s="35"/>
      <c r="I118" s="35"/>
      <c r="J118" s="37"/>
      <c r="K118" s="37"/>
      <c r="L118" s="37"/>
      <c r="M118" s="23" t="s">
        <v>1127</v>
      </c>
      <c r="N118" s="23" t="s">
        <v>1126</v>
      </c>
      <c r="O118" s="35"/>
    </row>
    <row r="119" spans="1:15">
      <c r="A119" s="34"/>
      <c r="B119" s="35"/>
      <c r="C119" s="35"/>
      <c r="D119" s="23" t="s">
        <v>825</v>
      </c>
      <c r="E119" s="23" t="s">
        <v>1131</v>
      </c>
      <c r="F119" s="4" t="str">
        <f>HYPERLINK("https://stat100.ameba.jp/tnk47/ratio20/illustrations/card/ill_201033_2_haroinresshaarisu03.jpg", "■")</f>
        <v>■</v>
      </c>
      <c r="G119" s="23" t="s">
        <v>1130</v>
      </c>
      <c r="H119" s="35"/>
      <c r="I119" s="35"/>
      <c r="J119" s="37"/>
      <c r="K119" s="37"/>
      <c r="L119" s="37"/>
      <c r="M119" s="23" t="s">
        <v>1129</v>
      </c>
      <c r="N119" s="30" t="s">
        <v>1128</v>
      </c>
      <c r="O119" s="35"/>
    </row>
    <row r="120" spans="1:15">
      <c r="A120" s="33">
        <v>44501</v>
      </c>
      <c r="B120" s="35">
        <v>201663</v>
      </c>
      <c r="C120" s="35" t="s">
        <v>179</v>
      </c>
      <c r="D120" s="24" t="s">
        <v>417</v>
      </c>
      <c r="E120" s="23" t="s">
        <v>1171</v>
      </c>
      <c r="F120" s="4" t="str">
        <f>HYPERLINK("https://stat100.ameba.jp/tnk47/ratio20/illustrations/card/ill_201663_0_mafuiahokkaidogyunyuchan03.jpg", "■")</f>
        <v>■</v>
      </c>
      <c r="G120" s="23" t="s">
        <v>1172</v>
      </c>
      <c r="H120" s="35"/>
      <c r="I120" s="35"/>
      <c r="J120" s="36" t="s">
        <v>1150</v>
      </c>
      <c r="K120" s="36" t="s">
        <v>1194</v>
      </c>
      <c r="L120" s="36" t="s">
        <v>1195</v>
      </c>
      <c r="M120" s="23" t="s">
        <v>1173</v>
      </c>
      <c r="N120" s="23" t="s">
        <v>1136</v>
      </c>
      <c r="O120" s="38" t="s">
        <v>1293</v>
      </c>
    </row>
    <row r="121" spans="1:15">
      <c r="A121" s="34"/>
      <c r="B121" s="35"/>
      <c r="C121" s="35"/>
      <c r="D121" s="24" t="s">
        <v>10</v>
      </c>
      <c r="E121" s="23" t="s">
        <v>1174</v>
      </c>
      <c r="F121" s="4" t="str">
        <f>HYPERLINK("https://stat100.ameba.jp/tnk47/ratio20/illustrations/card/ill_201663_1_mafuiahokkaidogyunyuchan03.jpg", "■")</f>
        <v>■</v>
      </c>
      <c r="G121" s="23" t="s">
        <v>1175</v>
      </c>
      <c r="H121" s="35"/>
      <c r="I121" s="35"/>
      <c r="J121" s="37"/>
      <c r="K121" s="37"/>
      <c r="L121" s="37"/>
      <c r="M121" s="23" t="s">
        <v>1176</v>
      </c>
      <c r="N121" s="23" t="s">
        <v>1134</v>
      </c>
      <c r="O121" s="35"/>
    </row>
    <row r="122" spans="1:15">
      <c r="A122" s="34"/>
      <c r="B122" s="35"/>
      <c r="C122" s="35"/>
      <c r="D122" s="24" t="s">
        <v>1037</v>
      </c>
      <c r="E122" s="23" t="s">
        <v>1179</v>
      </c>
      <c r="F122" s="4" t="str">
        <f>HYPERLINK("https://stat100.ameba.jp/tnk47/ratio20/illustrations/card/ill_201663_2_mafuiahokkaidogyunyuchan03.jpg", "■")</f>
        <v>■</v>
      </c>
      <c r="G122" s="23" t="s">
        <v>1178</v>
      </c>
      <c r="H122" s="35"/>
      <c r="I122" s="35"/>
      <c r="J122" s="37"/>
      <c r="K122" s="37"/>
      <c r="L122" s="37"/>
      <c r="M122" s="23" t="s">
        <v>1177</v>
      </c>
      <c r="N122" s="32" t="s">
        <v>1140</v>
      </c>
      <c r="O122" s="35"/>
    </row>
    <row r="123" spans="1:15">
      <c r="A123" s="33">
        <v>44531</v>
      </c>
      <c r="B123" s="35">
        <v>202303</v>
      </c>
      <c r="C123" s="35" t="s">
        <v>179</v>
      </c>
      <c r="D123" s="25" t="s">
        <v>1048</v>
      </c>
      <c r="E123" s="25" t="s">
        <v>1221</v>
      </c>
      <c r="F123" s="4" t="str">
        <f>HYPERLINK("https://stat100.ameba.jp/tnk47/ratio20/illustrations/card/ill_202303_0_bikinikurisumasukaihime03.jpg", "■")</f>
        <v>■</v>
      </c>
      <c r="G123" s="25" t="s">
        <v>1225</v>
      </c>
      <c r="H123" s="35"/>
      <c r="I123" s="35"/>
      <c r="J123" s="36">
        <v>35</v>
      </c>
      <c r="K123" s="36">
        <v>376566</v>
      </c>
      <c r="L123" s="36">
        <v>308114</v>
      </c>
      <c r="M123" s="25" t="s">
        <v>1224</v>
      </c>
      <c r="N123" s="25" t="s">
        <v>1120</v>
      </c>
      <c r="O123" s="38" t="s">
        <v>1294</v>
      </c>
    </row>
    <row r="124" spans="1:15">
      <c r="A124" s="34"/>
      <c r="B124" s="35"/>
      <c r="C124" s="35"/>
      <c r="D124" s="25" t="s">
        <v>9</v>
      </c>
      <c r="E124" s="25" t="s">
        <v>1228</v>
      </c>
      <c r="F124" s="4" t="str">
        <f>HYPERLINK("https://stat100.ameba.jp/tnk47/ratio20/illustrations/card/ill_202303_1_bikinikurisumasukaihime03.jpg", "■")</f>
        <v>■</v>
      </c>
      <c r="G124" s="25" t="s">
        <v>1226</v>
      </c>
      <c r="H124" s="35"/>
      <c r="I124" s="35"/>
      <c r="J124" s="37"/>
      <c r="K124" s="37"/>
      <c r="L124" s="37"/>
      <c r="M124" s="25" t="s">
        <v>1223</v>
      </c>
      <c r="N124" s="25" t="s">
        <v>1126</v>
      </c>
      <c r="O124" s="35"/>
    </row>
    <row r="125" spans="1:15">
      <c r="A125" s="34"/>
      <c r="B125" s="35"/>
      <c r="C125" s="35"/>
      <c r="D125" s="25" t="s">
        <v>825</v>
      </c>
      <c r="E125" s="25" t="s">
        <v>1229</v>
      </c>
      <c r="F125" s="4" t="str">
        <f>HYPERLINK("https://stat100.ameba.jp/tnk47/ratio20/illustrations/card/ill_202303_2_bikinikurisumasukaihime03.jpg", "■")</f>
        <v>■</v>
      </c>
      <c r="G125" s="25" t="s">
        <v>1227</v>
      </c>
      <c r="H125" s="35"/>
      <c r="I125" s="35"/>
      <c r="J125" s="37"/>
      <c r="K125" s="37"/>
      <c r="L125" s="37"/>
      <c r="M125" s="25" t="s">
        <v>1222</v>
      </c>
      <c r="N125" s="32" t="s">
        <v>1128</v>
      </c>
      <c r="O125" s="35"/>
    </row>
    <row r="126" spans="1:15">
      <c r="A126" s="33">
        <v>44562</v>
      </c>
      <c r="B126" s="35">
        <v>202983</v>
      </c>
      <c r="C126" s="35" t="s">
        <v>179</v>
      </c>
      <c r="D126" s="25" t="s">
        <v>1037</v>
      </c>
      <c r="E126" s="25" t="s">
        <v>1231</v>
      </c>
      <c r="F126" s="4" t="str">
        <f>HYPERLINK("https://stat100.ameba.jp/tnk47/ratio20/illustrations/card/ill_202983_0_shinshumbampukufujisan03.jpg", "■")</f>
        <v>■</v>
      </c>
      <c r="G126" s="25" t="s">
        <v>1232</v>
      </c>
      <c r="H126" s="35" t="s">
        <v>590</v>
      </c>
      <c r="I126" s="35"/>
      <c r="J126" s="36">
        <v>36</v>
      </c>
      <c r="K126" s="36">
        <v>319716</v>
      </c>
      <c r="L126" s="36">
        <v>353722</v>
      </c>
      <c r="M126" s="25" t="s">
        <v>1237</v>
      </c>
      <c r="N126" s="25" t="s">
        <v>1238</v>
      </c>
      <c r="O126" s="38" t="s">
        <v>1295</v>
      </c>
    </row>
    <row r="127" spans="1:15">
      <c r="A127" s="34"/>
      <c r="B127" s="35"/>
      <c r="C127" s="35"/>
      <c r="D127" s="25" t="s">
        <v>979</v>
      </c>
      <c r="E127" s="25" t="s">
        <v>1233</v>
      </c>
      <c r="F127" s="4" t="str">
        <f>HYPERLINK("https://stat100.ameba.jp/tnk47/ratio20/illustrations/card/ill_202983_1_shinshumbampukufujisan03.jpg", "■")</f>
        <v>■</v>
      </c>
      <c r="G127" s="25" t="s">
        <v>1234</v>
      </c>
      <c r="H127" s="35"/>
      <c r="I127" s="35"/>
      <c r="J127" s="37"/>
      <c r="K127" s="37"/>
      <c r="L127" s="37"/>
      <c r="M127" s="25" t="s">
        <v>1239</v>
      </c>
      <c r="N127" s="25" t="s">
        <v>1240</v>
      </c>
      <c r="O127" s="35"/>
    </row>
    <row r="128" spans="1:15">
      <c r="A128" s="34"/>
      <c r="B128" s="35"/>
      <c r="C128" s="35"/>
      <c r="D128" s="25" t="s">
        <v>617</v>
      </c>
      <c r="E128" s="25" t="s">
        <v>1235</v>
      </c>
      <c r="F128" s="4" t="str">
        <f>HYPERLINK("https://stat100.ameba.jp/tnk47/ratio20/illustrations/card/ill_202983_2_shinshumbampukufujisan03.jpg", "■")</f>
        <v>■</v>
      </c>
      <c r="G128" s="25" t="s">
        <v>1236</v>
      </c>
      <c r="H128" s="35"/>
      <c r="I128" s="35"/>
      <c r="J128" s="37"/>
      <c r="K128" s="37"/>
      <c r="L128" s="37"/>
      <c r="M128" s="25" t="s">
        <v>1241</v>
      </c>
      <c r="N128" s="32" t="s">
        <v>1242</v>
      </c>
      <c r="O128" s="35"/>
    </row>
    <row r="129" spans="1:15">
      <c r="A129" s="33">
        <v>44593</v>
      </c>
      <c r="B129" s="35">
        <v>203753</v>
      </c>
      <c r="C129" s="35" t="s">
        <v>179</v>
      </c>
      <c r="D129" s="25" t="s">
        <v>417</v>
      </c>
      <c r="E129" s="25" t="s">
        <v>1243</v>
      </c>
      <c r="F129" s="4" t="str">
        <f>HYPERLINK("https://stat100.ameba.jp/tnk47/ratio20/illustrations/card/ill_203753_0_setsubunsaimomijimanjuchan03.jpg", "■")</f>
        <v>■</v>
      </c>
      <c r="G129" s="25" t="s">
        <v>1244</v>
      </c>
      <c r="H129" s="35"/>
      <c r="I129" s="35"/>
      <c r="J129" s="36">
        <v>36</v>
      </c>
      <c r="K129" s="36">
        <v>353722</v>
      </c>
      <c r="L129" s="36">
        <v>319716</v>
      </c>
      <c r="M129" s="25" t="s">
        <v>1249</v>
      </c>
      <c r="N129" s="25" t="s">
        <v>1250</v>
      </c>
      <c r="O129" s="38" t="s">
        <v>1296</v>
      </c>
    </row>
    <row r="130" spans="1:15">
      <c r="A130" s="34"/>
      <c r="B130" s="35"/>
      <c r="C130" s="35"/>
      <c r="D130" s="25" t="s">
        <v>10</v>
      </c>
      <c r="E130" s="25" t="s">
        <v>1245</v>
      </c>
      <c r="F130" s="4" t="str">
        <f>HYPERLINK("https://stat100.ameba.jp/tnk47/ratio20/illustrations/card/ill_203753_1_setsubunsaimomijimanjuchan03.jpg", "■")</f>
        <v>■</v>
      </c>
      <c r="G130" s="25" t="s">
        <v>1246</v>
      </c>
      <c r="H130" s="35"/>
      <c r="I130" s="35"/>
      <c r="J130" s="37"/>
      <c r="K130" s="37"/>
      <c r="L130" s="37"/>
      <c r="M130" s="25" t="s">
        <v>1251</v>
      </c>
      <c r="N130" s="25" t="s">
        <v>1252</v>
      </c>
      <c r="O130" s="35"/>
    </row>
    <row r="131" spans="1:15">
      <c r="A131" s="34"/>
      <c r="B131" s="35"/>
      <c r="C131" s="35"/>
      <c r="D131" s="25" t="s">
        <v>825</v>
      </c>
      <c r="E131" s="25" t="s">
        <v>1247</v>
      </c>
      <c r="F131" s="4" t="str">
        <f>HYPERLINK("https://stat100.ameba.jp/tnk47/ratio20/illustrations/card/ill_203753_2_setsubunsaimomijimanjuchan03.jpg", "■")</f>
        <v>■</v>
      </c>
      <c r="G131" s="25" t="s">
        <v>1248</v>
      </c>
      <c r="H131" s="35"/>
      <c r="I131" s="35"/>
      <c r="J131" s="37"/>
      <c r="K131" s="37"/>
      <c r="L131" s="37"/>
      <c r="M131" s="25" t="s">
        <v>1253</v>
      </c>
      <c r="N131" s="32" t="s">
        <v>1254</v>
      </c>
      <c r="O131" s="35"/>
    </row>
    <row r="132" spans="1:15">
      <c r="A132" s="33">
        <v>44621</v>
      </c>
      <c r="B132" s="35">
        <v>204453</v>
      </c>
      <c r="C132" s="35" t="s">
        <v>179</v>
      </c>
      <c r="D132" s="27" t="s">
        <v>1048</v>
      </c>
      <c r="E132" s="1" t="s">
        <v>1324</v>
      </c>
      <c r="F132" s="4" t="str">
        <f>HYPERLINK("https://stat100.ameba.jp/tnk47/ratio20/illustrations/card/ill_204453_0_aidoruraibuchacha03.jpg", "■")</f>
        <v>■</v>
      </c>
      <c r="G132" s="27" t="s">
        <v>1325</v>
      </c>
      <c r="H132" s="35"/>
      <c r="I132" s="35"/>
      <c r="J132" s="36">
        <v>36</v>
      </c>
      <c r="K132" s="36">
        <v>297566</v>
      </c>
      <c r="L132" s="36">
        <v>363696</v>
      </c>
      <c r="M132" s="27" t="s">
        <v>1331</v>
      </c>
      <c r="N132" s="27" t="s">
        <v>1240</v>
      </c>
      <c r="O132" s="38" t="s">
        <v>1330</v>
      </c>
    </row>
    <row r="133" spans="1:15">
      <c r="A133" s="34"/>
      <c r="B133" s="35"/>
      <c r="C133" s="35"/>
      <c r="D133" s="27" t="s">
        <v>931</v>
      </c>
      <c r="E133" s="1" t="s">
        <v>1326</v>
      </c>
      <c r="F133" s="4" t="str">
        <f>HYPERLINK("https://stat100.ameba.jp/tnk47/ratio20/illustrations/card/ill_204453_1_aidoruraibuchacha03.jpg", "■")</f>
        <v>■</v>
      </c>
      <c r="G133" s="27" t="s">
        <v>1327</v>
      </c>
      <c r="H133" s="35"/>
      <c r="I133" s="35"/>
      <c r="J133" s="37"/>
      <c r="K133" s="37"/>
      <c r="L133" s="37"/>
      <c r="M133" s="27" t="s">
        <v>1332</v>
      </c>
      <c r="N133" s="27" t="s">
        <v>1238</v>
      </c>
      <c r="O133" s="35"/>
    </row>
    <row r="134" spans="1:15">
      <c r="A134" s="34"/>
      <c r="B134" s="35"/>
      <c r="C134" s="35"/>
      <c r="D134" s="27" t="s">
        <v>617</v>
      </c>
      <c r="E134" s="1" t="s">
        <v>1328</v>
      </c>
      <c r="F134" s="4" t="str">
        <f>HYPERLINK("https://stat100.ameba.jp/tnk47/ratio20/illustrations/card/ill_204453_2_aidoruraibuchacha03.jpg", "■")</f>
        <v>■</v>
      </c>
      <c r="G134" s="27" t="s">
        <v>1329</v>
      </c>
      <c r="H134" s="35"/>
      <c r="I134" s="35"/>
      <c r="J134" s="37"/>
      <c r="K134" s="37"/>
      <c r="L134" s="37"/>
      <c r="M134" s="27" t="s">
        <v>1333</v>
      </c>
      <c r="N134" s="32" t="s">
        <v>1242</v>
      </c>
      <c r="O134" s="35"/>
    </row>
    <row r="135" spans="1:15">
      <c r="A135" s="33">
        <v>44652</v>
      </c>
      <c r="B135" s="35">
        <v>205113</v>
      </c>
      <c r="C135" s="35" t="s">
        <v>179</v>
      </c>
      <c r="D135" s="31" t="s">
        <v>10</v>
      </c>
      <c r="E135" s="31" t="s">
        <v>1347</v>
      </c>
      <c r="F135" s="4" t="str">
        <f>HYPERLINK("https://stat100.ameba.jp/tnk47/ratio20/illustrations/card/ill_205113_0_sakurafubukisonobehideo03.jpg", "■")</f>
        <v>■</v>
      </c>
      <c r="G135" s="31" t="s">
        <v>1348</v>
      </c>
      <c r="H135" s="35"/>
      <c r="I135" s="35"/>
      <c r="J135" s="36">
        <v>36</v>
      </c>
      <c r="K135" s="36">
        <v>363696</v>
      </c>
      <c r="L135" s="36">
        <v>297566</v>
      </c>
      <c r="M135" s="31" t="s">
        <v>1349</v>
      </c>
      <c r="N135" s="31" t="s">
        <v>1252</v>
      </c>
      <c r="O135" s="38" t="s">
        <v>1350</v>
      </c>
    </row>
    <row r="136" spans="1:15">
      <c r="A136" s="34"/>
      <c r="B136" s="35"/>
      <c r="C136" s="35"/>
      <c r="D136" s="31" t="s">
        <v>9</v>
      </c>
      <c r="E136" s="31" t="s">
        <v>1351</v>
      </c>
      <c r="F136" s="4" t="str">
        <f>HYPERLINK("https://stat100.ameba.jp/tnk47/ratio20/illustrations/card/ill_205113_1_sakurafubukisonobehideo03.jpg", "■")</f>
        <v>■</v>
      </c>
      <c r="G136" s="31" t="s">
        <v>1352</v>
      </c>
      <c r="H136" s="35"/>
      <c r="I136" s="35"/>
      <c r="J136" s="37"/>
      <c r="K136" s="37"/>
      <c r="L136" s="37"/>
      <c r="M136" s="31" t="s">
        <v>1353</v>
      </c>
      <c r="N136" s="31" t="s">
        <v>1250</v>
      </c>
      <c r="O136" s="35"/>
    </row>
    <row r="137" spans="1:15">
      <c r="A137" s="34"/>
      <c r="B137" s="35"/>
      <c r="C137" s="35"/>
      <c r="D137" s="31" t="s">
        <v>1037</v>
      </c>
      <c r="E137" s="31" t="s">
        <v>1355</v>
      </c>
      <c r="F137" s="4" t="str">
        <f>HYPERLINK("https://stat100.ameba.jp/tnk47/ratio20/illustrations/card/ill_205113_2_sakurafubukisonobehideo03.jpg", "■")</f>
        <v>■</v>
      </c>
      <c r="G137" s="31" t="s">
        <v>1354</v>
      </c>
      <c r="H137" s="35"/>
      <c r="I137" s="35"/>
      <c r="J137" s="37"/>
      <c r="K137" s="37"/>
      <c r="L137" s="37"/>
      <c r="M137" s="31" t="s">
        <v>1356</v>
      </c>
      <c r="N137" s="39" t="s">
        <v>1254</v>
      </c>
      <c r="O137" s="35"/>
    </row>
    <row r="138" spans="1:15">
      <c r="A138" s="33">
        <v>44682</v>
      </c>
      <c r="B138" s="35">
        <v>205823</v>
      </c>
      <c r="C138" s="35" t="s">
        <v>179</v>
      </c>
      <c r="D138" s="31" t="s">
        <v>979</v>
      </c>
      <c r="E138" s="31" t="s">
        <v>1334</v>
      </c>
      <c r="F138" s="4" t="str">
        <f>HYPERLINK("https://stat100.ameba.jp/tnk47/ratio20/illustrations/card/ill_205823_0_kikaijikakedongurikorokoro03.jpg", "■")</f>
        <v>■</v>
      </c>
      <c r="G138" s="31" t="s">
        <v>1335</v>
      </c>
      <c r="H138" s="35" t="s">
        <v>1357</v>
      </c>
      <c r="I138" s="35"/>
      <c r="J138" s="36">
        <v>37</v>
      </c>
      <c r="K138" s="36">
        <v>306293</v>
      </c>
      <c r="L138" s="36">
        <v>338853</v>
      </c>
      <c r="M138" s="31" t="s">
        <v>1336</v>
      </c>
      <c r="N138" s="31" t="s">
        <v>1337</v>
      </c>
      <c r="O138" s="38" t="s">
        <v>1338</v>
      </c>
    </row>
    <row r="139" spans="1:15">
      <c r="A139" s="34"/>
      <c r="B139" s="35"/>
      <c r="C139" s="35"/>
      <c r="D139" s="31" t="s">
        <v>417</v>
      </c>
      <c r="E139" s="31" t="s">
        <v>1339</v>
      </c>
      <c r="F139" s="4" t="str">
        <f>HYPERLINK("https://stat100.ameba.jp/tnk47/ratio20/illustrations/card/ill_205823_1_kikaijikakedongurikorokoro03.jpg", "■")</f>
        <v>■</v>
      </c>
      <c r="G139" s="31" t="s">
        <v>1340</v>
      </c>
      <c r="H139" s="35"/>
      <c r="I139" s="35"/>
      <c r="J139" s="37"/>
      <c r="K139" s="37"/>
      <c r="L139" s="37"/>
      <c r="M139" s="31" t="s">
        <v>1341</v>
      </c>
      <c r="N139" s="31" t="s">
        <v>1342</v>
      </c>
      <c r="O139" s="35"/>
    </row>
    <row r="140" spans="1:15">
      <c r="A140" s="34"/>
      <c r="B140" s="35"/>
      <c r="C140" s="35"/>
      <c r="D140" s="31" t="s">
        <v>825</v>
      </c>
      <c r="E140" s="31" t="s">
        <v>1345</v>
      </c>
      <c r="F140" s="4" t="str">
        <f>HYPERLINK("https://stat100.ameba.jp/tnk47/ratio20/illustrations/card/ill_205823_2_kikaijikakedongurikorokoro03.jpg", "■")</f>
        <v>■</v>
      </c>
      <c r="G140" s="31" t="s">
        <v>1346</v>
      </c>
      <c r="H140" s="35"/>
      <c r="I140" s="35"/>
      <c r="J140" s="37"/>
      <c r="K140" s="37"/>
      <c r="L140" s="37"/>
      <c r="M140" s="31" t="s">
        <v>1343</v>
      </c>
      <c r="N140" s="39" t="s">
        <v>1344</v>
      </c>
      <c r="O140" s="35"/>
    </row>
  </sheetData>
  <mergeCells count="414">
    <mergeCell ref="A138:A140"/>
    <mergeCell ref="B138:B140"/>
    <mergeCell ref="C138:C140"/>
    <mergeCell ref="H138:H140"/>
    <mergeCell ref="I138:I140"/>
    <mergeCell ref="J138:J140"/>
    <mergeCell ref="K138:K140"/>
    <mergeCell ref="L138:L140"/>
    <mergeCell ref="O138:O140"/>
    <mergeCell ref="A135:A137"/>
    <mergeCell ref="B135:B137"/>
    <mergeCell ref="C135:C137"/>
    <mergeCell ref="H135:H137"/>
    <mergeCell ref="I135:I137"/>
    <mergeCell ref="J135:J137"/>
    <mergeCell ref="K135:K137"/>
    <mergeCell ref="L135:L137"/>
    <mergeCell ref="O135:O137"/>
    <mergeCell ref="A132:A134"/>
    <mergeCell ref="B132:B134"/>
    <mergeCell ref="C132:C134"/>
    <mergeCell ref="H132:H134"/>
    <mergeCell ref="I132:I134"/>
    <mergeCell ref="J132:J134"/>
    <mergeCell ref="K132:K134"/>
    <mergeCell ref="L132:L134"/>
    <mergeCell ref="O132:O134"/>
    <mergeCell ref="O111:O113"/>
    <mergeCell ref="O114:O116"/>
    <mergeCell ref="O117:O119"/>
    <mergeCell ref="O120:O122"/>
    <mergeCell ref="O123:O125"/>
    <mergeCell ref="O126:O128"/>
    <mergeCell ref="O129:O131"/>
    <mergeCell ref="O84:O86"/>
    <mergeCell ref="O87:O89"/>
    <mergeCell ref="O90:O92"/>
    <mergeCell ref="O93:O95"/>
    <mergeCell ref="O96:O98"/>
    <mergeCell ref="O99:O101"/>
    <mergeCell ref="O102:O104"/>
    <mergeCell ref="O105:O107"/>
    <mergeCell ref="O108:O110"/>
    <mergeCell ref="O57:O59"/>
    <mergeCell ref="O60:O62"/>
    <mergeCell ref="O63:O65"/>
    <mergeCell ref="O66:O68"/>
    <mergeCell ref="O69:O71"/>
    <mergeCell ref="O72:O74"/>
    <mergeCell ref="O75:O77"/>
    <mergeCell ref="O78:O80"/>
    <mergeCell ref="O81:O83"/>
    <mergeCell ref="O30:O32"/>
    <mergeCell ref="O33:O35"/>
    <mergeCell ref="O36:O38"/>
    <mergeCell ref="O39:O41"/>
    <mergeCell ref="O42:O44"/>
    <mergeCell ref="O45:O47"/>
    <mergeCell ref="O48:O50"/>
    <mergeCell ref="O51:O53"/>
    <mergeCell ref="O54:O56"/>
    <mergeCell ref="O3:O5"/>
    <mergeCell ref="O6:O8"/>
    <mergeCell ref="O9:O11"/>
    <mergeCell ref="O12:O14"/>
    <mergeCell ref="O15:O17"/>
    <mergeCell ref="O18:O20"/>
    <mergeCell ref="O21:O23"/>
    <mergeCell ref="O24:O26"/>
    <mergeCell ref="O27:O29"/>
    <mergeCell ref="A129:A131"/>
    <mergeCell ref="B129:B131"/>
    <mergeCell ref="C129:C131"/>
    <mergeCell ref="H129:H131"/>
    <mergeCell ref="I129:I131"/>
    <mergeCell ref="J129:J131"/>
    <mergeCell ref="K129:K131"/>
    <mergeCell ref="L129:L131"/>
    <mergeCell ref="A123:A125"/>
    <mergeCell ref="B123:B125"/>
    <mergeCell ref="C123:C125"/>
    <mergeCell ref="H123:H125"/>
    <mergeCell ref="I123:I125"/>
    <mergeCell ref="J123:J125"/>
    <mergeCell ref="K123:K125"/>
    <mergeCell ref="L123:L125"/>
    <mergeCell ref="A126:A128"/>
    <mergeCell ref="B126:B128"/>
    <mergeCell ref="C126:C128"/>
    <mergeCell ref="H126:H128"/>
    <mergeCell ref="I126:I128"/>
    <mergeCell ref="J126:J128"/>
    <mergeCell ref="K126:K128"/>
    <mergeCell ref="L126:L128"/>
    <mergeCell ref="A120:A122"/>
    <mergeCell ref="B120:B122"/>
    <mergeCell ref="C120:C122"/>
    <mergeCell ref="H120:H122"/>
    <mergeCell ref="I120:I122"/>
    <mergeCell ref="J120:J122"/>
    <mergeCell ref="K120:K122"/>
    <mergeCell ref="L120:L122"/>
    <mergeCell ref="A114:A116"/>
    <mergeCell ref="B114:B116"/>
    <mergeCell ref="C114:C116"/>
    <mergeCell ref="H114:H116"/>
    <mergeCell ref="I114:I116"/>
    <mergeCell ref="J114:J116"/>
    <mergeCell ref="K114:K116"/>
    <mergeCell ref="L114:L116"/>
    <mergeCell ref="A117:A119"/>
    <mergeCell ref="B117:B119"/>
    <mergeCell ref="C117:C119"/>
    <mergeCell ref="H117:H119"/>
    <mergeCell ref="I117:I119"/>
    <mergeCell ref="J117:J119"/>
    <mergeCell ref="K117:K119"/>
    <mergeCell ref="L117:L119"/>
    <mergeCell ref="A105:A107"/>
    <mergeCell ref="B105:B107"/>
    <mergeCell ref="C105:C107"/>
    <mergeCell ref="H105:H107"/>
    <mergeCell ref="I105:I107"/>
    <mergeCell ref="J105:J107"/>
    <mergeCell ref="K105:K107"/>
    <mergeCell ref="L105:L107"/>
    <mergeCell ref="A108:A110"/>
    <mergeCell ref="B108:B110"/>
    <mergeCell ref="C108:C110"/>
    <mergeCell ref="H108:H110"/>
    <mergeCell ref="I108:I110"/>
    <mergeCell ref="J108:J110"/>
    <mergeCell ref="K108:K110"/>
    <mergeCell ref="L108:L110"/>
    <mergeCell ref="A87:A89"/>
    <mergeCell ref="B87:B89"/>
    <mergeCell ref="C87:C89"/>
    <mergeCell ref="H87:H89"/>
    <mergeCell ref="I87:I89"/>
    <mergeCell ref="J87:J89"/>
    <mergeCell ref="K87:K89"/>
    <mergeCell ref="L87:L89"/>
    <mergeCell ref="A90:A92"/>
    <mergeCell ref="B90:B92"/>
    <mergeCell ref="C90:C92"/>
    <mergeCell ref="H90:H92"/>
    <mergeCell ref="I90:I92"/>
    <mergeCell ref="J90:J92"/>
    <mergeCell ref="K90:K92"/>
    <mergeCell ref="L90:L92"/>
    <mergeCell ref="A84:A86"/>
    <mergeCell ref="B84:B86"/>
    <mergeCell ref="C84:C86"/>
    <mergeCell ref="H84:H86"/>
    <mergeCell ref="I84:I86"/>
    <mergeCell ref="J84:J86"/>
    <mergeCell ref="K84:K86"/>
    <mergeCell ref="L84:L86"/>
    <mergeCell ref="A78:A80"/>
    <mergeCell ref="B78:B80"/>
    <mergeCell ref="C78:C80"/>
    <mergeCell ref="H78:H80"/>
    <mergeCell ref="I78:I80"/>
    <mergeCell ref="J78:J80"/>
    <mergeCell ref="K78:K80"/>
    <mergeCell ref="L78:L80"/>
    <mergeCell ref="A81:A83"/>
    <mergeCell ref="B81:B83"/>
    <mergeCell ref="C81:C83"/>
    <mergeCell ref="H81:H83"/>
    <mergeCell ref="I81:I83"/>
    <mergeCell ref="J81:J83"/>
    <mergeCell ref="K81:K83"/>
    <mergeCell ref="L81:L83"/>
    <mergeCell ref="A75:A77"/>
    <mergeCell ref="B75:B77"/>
    <mergeCell ref="C75:C77"/>
    <mergeCell ref="H75:H77"/>
    <mergeCell ref="I75:I77"/>
    <mergeCell ref="J75:J77"/>
    <mergeCell ref="K75:K77"/>
    <mergeCell ref="L75:L77"/>
    <mergeCell ref="L42:L44"/>
    <mergeCell ref="B42:B44"/>
    <mergeCell ref="A42:A44"/>
    <mergeCell ref="C42:C44"/>
    <mergeCell ref="J42:J44"/>
    <mergeCell ref="K42:K44"/>
    <mergeCell ref="A54:A56"/>
    <mergeCell ref="C54:C56"/>
    <mergeCell ref="J54:J56"/>
    <mergeCell ref="K54:K56"/>
    <mergeCell ref="L54:L56"/>
    <mergeCell ref="L45:L47"/>
    <mergeCell ref="B45:B47"/>
    <mergeCell ref="A45:A47"/>
    <mergeCell ref="C45:C47"/>
    <mergeCell ref="J45:J47"/>
    <mergeCell ref="B54:B56"/>
    <mergeCell ref="C51:C53"/>
    <mergeCell ref="J51:J53"/>
    <mergeCell ref="K51:K53"/>
    <mergeCell ref="L51:L53"/>
    <mergeCell ref="L48:L50"/>
    <mergeCell ref="J36:J38"/>
    <mergeCell ref="K36:K38"/>
    <mergeCell ref="L36:L38"/>
    <mergeCell ref="L39:L41"/>
    <mergeCell ref="B39:B41"/>
    <mergeCell ref="C39:C41"/>
    <mergeCell ref="J39:J41"/>
    <mergeCell ref="K39:K41"/>
    <mergeCell ref="C36:C38"/>
    <mergeCell ref="B48:B50"/>
    <mergeCell ref="C48:C50"/>
    <mergeCell ref="J48:J50"/>
    <mergeCell ref="K48:K50"/>
    <mergeCell ref="H54:H56"/>
    <mergeCell ref="I54:I56"/>
    <mergeCell ref="I51:I53"/>
    <mergeCell ref="A30:A32"/>
    <mergeCell ref="C30:C32"/>
    <mergeCell ref="J30:J32"/>
    <mergeCell ref="K30:K32"/>
    <mergeCell ref="L30:L32"/>
    <mergeCell ref="A27:A29"/>
    <mergeCell ref="C27:C29"/>
    <mergeCell ref="K45:K47"/>
    <mergeCell ref="A51:A53"/>
    <mergeCell ref="A39:A41"/>
    <mergeCell ref="A36:A38"/>
    <mergeCell ref="A48:A50"/>
    <mergeCell ref="L27:L29"/>
    <mergeCell ref="H27:H29"/>
    <mergeCell ref="I27:I29"/>
    <mergeCell ref="H30:H32"/>
    <mergeCell ref="I30:I32"/>
    <mergeCell ref="H33:H35"/>
    <mergeCell ref="I33:I35"/>
    <mergeCell ref="B51:B53"/>
    <mergeCell ref="H48:H50"/>
    <mergeCell ref="L33:L35"/>
    <mergeCell ref="I48:I50"/>
    <mergeCell ref="H51:H53"/>
    <mergeCell ref="L18:L20"/>
    <mergeCell ref="A24:A26"/>
    <mergeCell ref="C24:C26"/>
    <mergeCell ref="J24:J26"/>
    <mergeCell ref="K24:K26"/>
    <mergeCell ref="L24:L26"/>
    <mergeCell ref="C21:C23"/>
    <mergeCell ref="J21:J23"/>
    <mergeCell ref="K21:K23"/>
    <mergeCell ref="L21:L23"/>
    <mergeCell ref="H21:H23"/>
    <mergeCell ref="I21:I23"/>
    <mergeCell ref="H24:H26"/>
    <mergeCell ref="I24:I26"/>
    <mergeCell ref="L15:L17"/>
    <mergeCell ref="C15:C17"/>
    <mergeCell ref="J15:J17"/>
    <mergeCell ref="A21:A23"/>
    <mergeCell ref="A3:A5"/>
    <mergeCell ref="C3:C5"/>
    <mergeCell ref="J3:J5"/>
    <mergeCell ref="K3:K5"/>
    <mergeCell ref="L3:L5"/>
    <mergeCell ref="A12:A14"/>
    <mergeCell ref="C12:C14"/>
    <mergeCell ref="J12:J14"/>
    <mergeCell ref="K12:K14"/>
    <mergeCell ref="L12:L14"/>
    <mergeCell ref="A6:A8"/>
    <mergeCell ref="C6:C8"/>
    <mergeCell ref="J6:J8"/>
    <mergeCell ref="K6:K8"/>
    <mergeCell ref="L6:L8"/>
    <mergeCell ref="L9:L11"/>
    <mergeCell ref="A9:A11"/>
    <mergeCell ref="C9:C11"/>
    <mergeCell ref="J9:J11"/>
    <mergeCell ref="A18:A20"/>
    <mergeCell ref="K9:K11"/>
    <mergeCell ref="A15:A17"/>
    <mergeCell ref="B33:B35"/>
    <mergeCell ref="B36:B38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K15:K17"/>
    <mergeCell ref="A33:A35"/>
    <mergeCell ref="C33:C35"/>
    <mergeCell ref="J33:J35"/>
    <mergeCell ref="K33:K35"/>
    <mergeCell ref="C18:C20"/>
    <mergeCell ref="J18:J20"/>
    <mergeCell ref="K18:K20"/>
    <mergeCell ref="J27:J29"/>
    <mergeCell ref="K27:K29"/>
    <mergeCell ref="H3:H5"/>
    <mergeCell ref="I3:I5"/>
    <mergeCell ref="H36:H38"/>
    <mergeCell ref="I36:I38"/>
    <mergeCell ref="H39:H41"/>
    <mergeCell ref="I39:I41"/>
    <mergeCell ref="H42:H44"/>
    <mergeCell ref="I42:I44"/>
    <mergeCell ref="H45:H47"/>
    <mergeCell ref="I45:I47"/>
    <mergeCell ref="H6:H8"/>
    <mergeCell ref="I6:I8"/>
    <mergeCell ref="H9:H11"/>
    <mergeCell ref="I9:I11"/>
    <mergeCell ref="I12:I14"/>
    <mergeCell ref="H15:H17"/>
    <mergeCell ref="I15:I17"/>
    <mergeCell ref="H18:H20"/>
    <mergeCell ref="I18:I20"/>
    <mergeCell ref="H12:H14"/>
    <mergeCell ref="B60:B62"/>
    <mergeCell ref="A60:A62"/>
    <mergeCell ref="C60:C62"/>
    <mergeCell ref="H60:H62"/>
    <mergeCell ref="I60:I62"/>
    <mergeCell ref="J60:J62"/>
    <mergeCell ref="K60:K62"/>
    <mergeCell ref="L60:L62"/>
    <mergeCell ref="H57:H59"/>
    <mergeCell ref="I57:I59"/>
    <mergeCell ref="A57:A59"/>
    <mergeCell ref="C57:C59"/>
    <mergeCell ref="J57:J59"/>
    <mergeCell ref="K57:K59"/>
    <mergeCell ref="L57:L59"/>
    <mergeCell ref="B57:B59"/>
    <mergeCell ref="A66:A68"/>
    <mergeCell ref="B66:B68"/>
    <mergeCell ref="C66:C68"/>
    <mergeCell ref="H66:H68"/>
    <mergeCell ref="I66:I68"/>
    <mergeCell ref="J66:J68"/>
    <mergeCell ref="K66:K68"/>
    <mergeCell ref="L66:L68"/>
    <mergeCell ref="A63:A65"/>
    <mergeCell ref="B63:B65"/>
    <mergeCell ref="C63:C65"/>
    <mergeCell ref="H63:H65"/>
    <mergeCell ref="I63:I65"/>
    <mergeCell ref="J63:J65"/>
    <mergeCell ref="K63:K65"/>
    <mergeCell ref="L63:L65"/>
    <mergeCell ref="A69:A71"/>
    <mergeCell ref="B69:B71"/>
    <mergeCell ref="C69:C71"/>
    <mergeCell ref="H69:H71"/>
    <mergeCell ref="I69:I71"/>
    <mergeCell ref="J69:J71"/>
    <mergeCell ref="K69:K71"/>
    <mergeCell ref="L69:L71"/>
    <mergeCell ref="A72:A74"/>
    <mergeCell ref="B72:B74"/>
    <mergeCell ref="C72:C74"/>
    <mergeCell ref="H72:H74"/>
    <mergeCell ref="I72:I74"/>
    <mergeCell ref="J72:J74"/>
    <mergeCell ref="K72:K74"/>
    <mergeCell ref="L72:L74"/>
    <mergeCell ref="A93:A95"/>
    <mergeCell ref="B93:B95"/>
    <mergeCell ref="C93:C95"/>
    <mergeCell ref="H93:H95"/>
    <mergeCell ref="I93:I95"/>
    <mergeCell ref="J93:J95"/>
    <mergeCell ref="K93:K95"/>
    <mergeCell ref="L93:L95"/>
    <mergeCell ref="A96:A98"/>
    <mergeCell ref="B96:B98"/>
    <mergeCell ref="C96:C98"/>
    <mergeCell ref="H96:H98"/>
    <mergeCell ref="I96:I98"/>
    <mergeCell ref="J96:J98"/>
    <mergeCell ref="K96:K98"/>
    <mergeCell ref="L96:L98"/>
    <mergeCell ref="A111:A113"/>
    <mergeCell ref="B111:B113"/>
    <mergeCell ref="C111:C113"/>
    <mergeCell ref="H111:H113"/>
    <mergeCell ref="I111:I113"/>
    <mergeCell ref="J111:J113"/>
    <mergeCell ref="K111:K113"/>
    <mergeCell ref="L111:L113"/>
    <mergeCell ref="A99:A101"/>
    <mergeCell ref="B99:B101"/>
    <mergeCell ref="C99:C101"/>
    <mergeCell ref="H99:H101"/>
    <mergeCell ref="I99:I101"/>
    <mergeCell ref="J99:J101"/>
    <mergeCell ref="K99:K101"/>
    <mergeCell ref="L99:L101"/>
    <mergeCell ref="A102:A104"/>
    <mergeCell ref="B102:B104"/>
    <mergeCell ref="C102:C104"/>
    <mergeCell ref="H102:H104"/>
    <mergeCell ref="I102:I104"/>
    <mergeCell ref="J102:J104"/>
    <mergeCell ref="K102:K104"/>
    <mergeCell ref="L102:L104"/>
  </mergeCells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E638C-3455-479C-9966-EFD4E096D796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11" style="1" customWidth="1"/>
    <col min="2" max="2" width="6.4140625" style="1" customWidth="1"/>
    <col min="3" max="3" width="10.9140625" style="1" customWidth="1"/>
    <col min="4" max="4" width="6.75" style="1" customWidth="1"/>
    <col min="5" max="5" width="31.9140625" style="1" customWidth="1"/>
    <col min="6" max="6" width="3.75" style="7" customWidth="1"/>
    <col min="7" max="7" width="25.58203125" style="1" hidden="1" customWidth="1"/>
    <col min="8" max="9" width="17.9140625" style="5" hidden="1" customWidth="1"/>
    <col min="10" max="10" width="5.9140625" style="1" customWidth="1"/>
    <col min="11" max="12" width="8.9140625" style="1" customWidth="1"/>
    <col min="13" max="13" width="15.6640625" style="1" hidden="1" customWidth="1"/>
    <col min="14" max="14" width="72.5" style="1" customWidth="1"/>
    <col min="15" max="15" width="14.5" style="26" customWidth="1"/>
    <col min="16" max="16384" width="8.9140625" style="1"/>
  </cols>
  <sheetData>
    <row r="1" spans="1:15">
      <c r="A1" s="2" t="s">
        <v>511</v>
      </c>
      <c r="B1" s="2" t="s">
        <v>495</v>
      </c>
      <c r="C1" s="3" t="s">
        <v>0</v>
      </c>
      <c r="D1" s="2" t="s">
        <v>1</v>
      </c>
      <c r="E1" s="2" t="s">
        <v>2</v>
      </c>
      <c r="F1" s="2" t="s">
        <v>607</v>
      </c>
      <c r="G1" s="2" t="s">
        <v>494</v>
      </c>
      <c r="H1" s="2" t="s">
        <v>584</v>
      </c>
      <c r="I1" s="2" t="s">
        <v>585</v>
      </c>
      <c r="J1" s="2" t="s">
        <v>3</v>
      </c>
      <c r="K1" s="2" t="s">
        <v>243</v>
      </c>
      <c r="L1" s="2" t="s">
        <v>244</v>
      </c>
      <c r="M1" s="2" t="s">
        <v>4</v>
      </c>
      <c r="N1" s="2" t="s">
        <v>613</v>
      </c>
      <c r="O1" s="2" t="s">
        <v>1255</v>
      </c>
    </row>
    <row r="3" spans="1:15">
      <c r="A3" s="33">
        <v>42278</v>
      </c>
      <c r="B3" s="35">
        <v>44253</v>
      </c>
      <c r="C3" s="35" t="s">
        <v>49</v>
      </c>
      <c r="D3" s="8" t="s">
        <v>93</v>
      </c>
      <c r="E3" s="9" t="s">
        <v>707</v>
      </c>
      <c r="F3" s="4" t="str">
        <f>HYPERLINK("https://stat100.ameba.jp/tnk47/ratio20/illustrations/card/ill_44253_0_dokuganryudatemasamune03.jpg", "■")</f>
        <v>■</v>
      </c>
      <c r="G3" s="1" t="s">
        <v>207</v>
      </c>
      <c r="H3" s="35" t="s">
        <v>589</v>
      </c>
      <c r="I3" s="35"/>
      <c r="J3" s="36" t="s">
        <v>1024</v>
      </c>
      <c r="K3" s="36" t="s">
        <v>1025</v>
      </c>
      <c r="L3" s="36" t="s">
        <v>1026</v>
      </c>
      <c r="M3" s="1" t="s">
        <v>208</v>
      </c>
      <c r="N3" s="1" t="s">
        <v>209</v>
      </c>
      <c r="O3" s="35"/>
    </row>
    <row r="4" spans="1:15">
      <c r="A4" s="34"/>
      <c r="B4" s="35"/>
      <c r="C4" s="35"/>
      <c r="D4" s="8" t="s">
        <v>182</v>
      </c>
      <c r="E4" s="9" t="s">
        <v>708</v>
      </c>
      <c r="F4" s="4" t="str">
        <f>HYPERLINK("https://stat100.ameba.jp/tnk47/ratio20/illustrations/card/ill_44253_1_dokuganryudatemasamune03.jpg", "■")</f>
        <v>■</v>
      </c>
      <c r="G4" s="1" t="s">
        <v>210</v>
      </c>
      <c r="H4" s="35"/>
      <c r="I4" s="35"/>
      <c r="J4" s="37"/>
      <c r="K4" s="37"/>
      <c r="L4" s="37"/>
      <c r="M4" s="1" t="s">
        <v>211</v>
      </c>
      <c r="N4" s="1" t="s">
        <v>130</v>
      </c>
      <c r="O4" s="35"/>
    </row>
    <row r="5" spans="1:15">
      <c r="A5" s="34"/>
      <c r="B5" s="35"/>
      <c r="C5" s="35"/>
      <c r="D5" s="8" t="s">
        <v>161</v>
      </c>
      <c r="E5" s="9" t="s">
        <v>709</v>
      </c>
      <c r="F5" s="4" t="str">
        <f>HYPERLINK("https://stat100.ameba.jp/tnk47/ratio20/illustrations/card/ill_44253_2_dokuganryudatemasamune03.jpg", "■")</f>
        <v>■</v>
      </c>
      <c r="G5" s="1" t="s">
        <v>212</v>
      </c>
      <c r="H5" s="35"/>
      <c r="I5" s="35"/>
      <c r="J5" s="37"/>
      <c r="K5" s="37"/>
      <c r="L5" s="37"/>
      <c r="M5" s="1" t="s">
        <v>213</v>
      </c>
      <c r="N5" s="1" t="s">
        <v>214</v>
      </c>
      <c r="O5" s="35"/>
    </row>
    <row r="6" spans="1:15">
      <c r="A6" s="33">
        <v>42461</v>
      </c>
      <c r="B6" s="35">
        <v>49953</v>
      </c>
      <c r="C6" s="35" t="s">
        <v>49</v>
      </c>
      <c r="D6" s="8" t="s">
        <v>231</v>
      </c>
      <c r="E6" s="9" t="s">
        <v>710</v>
      </c>
      <c r="F6" s="4" t="str">
        <f>HYPERLINK("https://stat100.ameba.jp/tnk47/ratio20/illustrations/card/ill_49953_0_yushamarihime03.jpg", "■")</f>
        <v>■</v>
      </c>
      <c r="G6" s="1" t="s">
        <v>234</v>
      </c>
      <c r="H6" s="35" t="s">
        <v>589</v>
      </c>
      <c r="I6" s="35"/>
      <c r="J6" s="36" t="s">
        <v>1188</v>
      </c>
      <c r="K6" s="36" t="s">
        <v>1189</v>
      </c>
      <c r="L6" s="36" t="s">
        <v>1190</v>
      </c>
      <c r="M6" s="1" t="s">
        <v>235</v>
      </c>
      <c r="N6" s="1" t="s">
        <v>236</v>
      </c>
      <c r="O6" s="35"/>
    </row>
    <row r="7" spans="1:15">
      <c r="A7" s="34"/>
      <c r="B7" s="35"/>
      <c r="C7" s="35"/>
      <c r="D7" s="8" t="s">
        <v>232</v>
      </c>
      <c r="E7" s="9" t="s">
        <v>711</v>
      </c>
      <c r="F7" s="4" t="str">
        <f>HYPERLINK("https://stat100.ameba.jp/tnk47/ratio20/illustrations/card/ill_49953_1_yushamarihime03.jpg", "■")</f>
        <v>■</v>
      </c>
      <c r="G7" s="1" t="s">
        <v>237</v>
      </c>
      <c r="H7" s="35"/>
      <c r="I7" s="35"/>
      <c r="J7" s="37"/>
      <c r="K7" s="37"/>
      <c r="L7" s="37"/>
      <c r="M7" s="1" t="s">
        <v>238</v>
      </c>
      <c r="N7" s="1" t="s">
        <v>239</v>
      </c>
      <c r="O7" s="35"/>
    </row>
    <row r="8" spans="1:15">
      <c r="A8" s="34"/>
      <c r="B8" s="35"/>
      <c r="C8" s="35"/>
      <c r="D8" s="8" t="s">
        <v>233</v>
      </c>
      <c r="E8" s="9" t="s">
        <v>712</v>
      </c>
      <c r="F8" s="4" t="str">
        <f>HYPERLINK("https://stat100.ameba.jp/tnk47/ratio20/illustrations/card/ill_49953_2_yushamarihime03.jpg", "■")</f>
        <v>■</v>
      </c>
      <c r="G8" s="1" t="s">
        <v>240</v>
      </c>
      <c r="H8" s="35"/>
      <c r="I8" s="35"/>
      <c r="J8" s="37"/>
      <c r="K8" s="37"/>
      <c r="L8" s="37"/>
      <c r="M8" s="1" t="s">
        <v>241</v>
      </c>
      <c r="N8" s="1" t="s">
        <v>242</v>
      </c>
      <c r="O8" s="35"/>
    </row>
    <row r="9" spans="1:15">
      <c r="A9" s="33">
        <v>42644</v>
      </c>
      <c r="B9" s="35">
        <v>55313</v>
      </c>
      <c r="C9" s="35" t="s">
        <v>49</v>
      </c>
      <c r="D9" s="8" t="s">
        <v>62</v>
      </c>
      <c r="E9" s="9" t="s">
        <v>713</v>
      </c>
      <c r="F9" s="4" t="str">
        <f>HYPERLINK("https://stat100.ameba.jp/tnk47/ratio20/illustrations/card/ill_55313_0_haroinononokomachi03.jpg", "■")</f>
        <v>■</v>
      </c>
      <c r="G9" s="1" t="s">
        <v>64</v>
      </c>
      <c r="H9" s="35"/>
      <c r="I9" s="35"/>
      <c r="J9" s="36" t="s">
        <v>955</v>
      </c>
      <c r="K9" s="36" t="s">
        <v>984</v>
      </c>
      <c r="L9" s="36" t="s">
        <v>985</v>
      </c>
      <c r="M9" s="1" t="s">
        <v>65</v>
      </c>
      <c r="N9" s="1" t="s">
        <v>66</v>
      </c>
      <c r="O9" s="35" t="s">
        <v>1301</v>
      </c>
    </row>
    <row r="10" spans="1:15">
      <c r="A10" s="34"/>
      <c r="B10" s="35"/>
      <c r="C10" s="35"/>
      <c r="D10" s="8" t="s">
        <v>52</v>
      </c>
      <c r="E10" s="9" t="s">
        <v>714</v>
      </c>
      <c r="F10" s="4" t="str">
        <f>HYPERLINK("https://stat100.ameba.jp/tnk47/ratio20/illustrations/card/ill_55313_1_haroinononokomachi03.jpg", "■")</f>
        <v>■</v>
      </c>
      <c r="G10" s="1" t="s">
        <v>67</v>
      </c>
      <c r="H10" s="35"/>
      <c r="I10" s="35"/>
      <c r="J10" s="37"/>
      <c r="K10" s="37"/>
      <c r="L10" s="37"/>
      <c r="M10" s="1" t="s">
        <v>68</v>
      </c>
      <c r="N10" s="1" t="s">
        <v>69</v>
      </c>
      <c r="O10" s="35"/>
    </row>
    <row r="11" spans="1:15">
      <c r="A11" s="34"/>
      <c r="B11" s="35"/>
      <c r="C11" s="35"/>
      <c r="D11" s="8" t="s">
        <v>63</v>
      </c>
      <c r="E11" s="9" t="s">
        <v>715</v>
      </c>
      <c r="F11" s="4" t="str">
        <f>HYPERLINK("https://stat100.ameba.jp/tnk47/ratio20/illustrations/card/ill_55313_2_haroinononokomachi03.jpg", "■")</f>
        <v>■</v>
      </c>
      <c r="G11" s="1" t="s">
        <v>70</v>
      </c>
      <c r="H11" s="35"/>
      <c r="I11" s="35"/>
      <c r="J11" s="37"/>
      <c r="K11" s="37"/>
      <c r="L11" s="37"/>
      <c r="M11" s="1" t="s">
        <v>71</v>
      </c>
      <c r="N11" s="1" t="s">
        <v>72</v>
      </c>
      <c r="O11" s="35"/>
    </row>
    <row r="12" spans="1:15">
      <c r="A12" s="33">
        <v>42826</v>
      </c>
      <c r="B12" s="35">
        <v>60633</v>
      </c>
      <c r="C12" s="35" t="s">
        <v>49</v>
      </c>
      <c r="D12" s="8" t="s">
        <v>52</v>
      </c>
      <c r="E12" s="9" t="s">
        <v>716</v>
      </c>
      <c r="F12" s="4" t="str">
        <f>HYPERLINK("https://stat100.ameba.jp/tnk47/ratio20/illustrations/card/ill_60633_0_harumaisentoin03.jpg", "■")</f>
        <v>■</v>
      </c>
      <c r="G12" s="1" t="s">
        <v>84</v>
      </c>
      <c r="H12" s="35"/>
      <c r="I12" s="35"/>
      <c r="J12" s="36" t="s">
        <v>635</v>
      </c>
      <c r="K12" s="36" t="s">
        <v>1067</v>
      </c>
      <c r="L12" s="36" t="s">
        <v>1068</v>
      </c>
      <c r="M12" s="1" t="s">
        <v>85</v>
      </c>
      <c r="N12" s="1" t="s">
        <v>86</v>
      </c>
      <c r="O12" s="35" t="s">
        <v>1307</v>
      </c>
    </row>
    <row r="13" spans="1:15">
      <c r="A13" s="34"/>
      <c r="B13" s="35"/>
      <c r="C13" s="35"/>
      <c r="D13" s="8" t="s">
        <v>73</v>
      </c>
      <c r="E13" s="9" t="s">
        <v>717</v>
      </c>
      <c r="F13" s="4" t="str">
        <f>HYPERLINK("https://stat100.ameba.jp/tnk47/ratio20/illustrations/card/ill_60633_1_harumaisentoin03.jpg", "■")</f>
        <v>■</v>
      </c>
      <c r="G13" s="1" t="s">
        <v>87</v>
      </c>
      <c r="H13" s="35"/>
      <c r="I13" s="35"/>
      <c r="J13" s="37"/>
      <c r="K13" s="37"/>
      <c r="L13" s="37"/>
      <c r="M13" s="1" t="s">
        <v>88</v>
      </c>
      <c r="N13" s="1" t="s">
        <v>89</v>
      </c>
      <c r="O13" s="35"/>
    </row>
    <row r="14" spans="1:15">
      <c r="A14" s="34"/>
      <c r="B14" s="35"/>
      <c r="C14" s="35"/>
      <c r="D14" s="8" t="s">
        <v>50</v>
      </c>
      <c r="E14" s="9" t="s">
        <v>718</v>
      </c>
      <c r="F14" s="4" t="str">
        <f>HYPERLINK("https://stat100.ameba.jp/tnk47/ratio20/illustrations/card/ill_60633_2_harumaisentoin03.jpg", "■")</f>
        <v>■</v>
      </c>
      <c r="G14" s="1" t="s">
        <v>90</v>
      </c>
      <c r="H14" s="35"/>
      <c r="I14" s="35"/>
      <c r="J14" s="37"/>
      <c r="K14" s="37"/>
      <c r="L14" s="37"/>
      <c r="M14" s="1" t="s">
        <v>91</v>
      </c>
      <c r="N14" s="1" t="s">
        <v>92</v>
      </c>
      <c r="O14" s="35"/>
    </row>
    <row r="15" spans="1:15">
      <c r="A15" s="33">
        <v>43009</v>
      </c>
      <c r="B15" s="35">
        <v>66433</v>
      </c>
      <c r="C15" s="35" t="s">
        <v>49</v>
      </c>
      <c r="D15" s="8" t="s">
        <v>185</v>
      </c>
      <c r="E15" s="9" t="s">
        <v>719</v>
      </c>
      <c r="F15" s="4" t="str">
        <f>HYPERLINK("https://stat100.ameba.jp/tnk47/ratio20/illustrations/card/ill_66433_0_haroinfujishirogozen03.jpg", "■")</f>
        <v>■</v>
      </c>
      <c r="G15" s="1" t="s">
        <v>215</v>
      </c>
      <c r="H15" s="35" t="s">
        <v>1217</v>
      </c>
      <c r="I15" s="35"/>
      <c r="J15" s="36" t="s">
        <v>969</v>
      </c>
      <c r="K15" s="36" t="s">
        <v>982</v>
      </c>
      <c r="L15" s="36" t="s">
        <v>983</v>
      </c>
      <c r="M15" s="1" t="s">
        <v>216</v>
      </c>
      <c r="N15" s="1" t="s">
        <v>217</v>
      </c>
      <c r="O15" s="35" t="s">
        <v>1313</v>
      </c>
    </row>
    <row r="16" spans="1:15">
      <c r="A16" s="34"/>
      <c r="B16" s="35"/>
      <c r="C16" s="35"/>
      <c r="D16" s="8" t="s">
        <v>184</v>
      </c>
      <c r="E16" s="9" t="s">
        <v>720</v>
      </c>
      <c r="F16" s="4" t="str">
        <f>HYPERLINK("https://stat100.ameba.jp/tnk47/ratio20/illustrations/card/ill_66433_1_haroinfujishirogozen03.jpg", "■")</f>
        <v>■</v>
      </c>
      <c r="G16" s="1" t="s">
        <v>218</v>
      </c>
      <c r="H16" s="35"/>
      <c r="I16" s="35"/>
      <c r="J16" s="37"/>
      <c r="K16" s="37"/>
      <c r="L16" s="37"/>
      <c r="M16" s="1" t="s">
        <v>219</v>
      </c>
      <c r="N16" s="1" t="s">
        <v>220</v>
      </c>
      <c r="O16" s="35"/>
    </row>
    <row r="17" spans="1:15">
      <c r="A17" s="34"/>
      <c r="B17" s="35"/>
      <c r="C17" s="35"/>
      <c r="D17" s="8" t="s">
        <v>182</v>
      </c>
      <c r="E17" s="9" t="s">
        <v>721</v>
      </c>
      <c r="F17" s="4" t="str">
        <f>HYPERLINK("https://stat100.ameba.jp/tnk47/ratio20/illustrations/card/ill_66433_2_haroinfujishirogozen03.jpg", "■")</f>
        <v>■</v>
      </c>
      <c r="G17" s="1" t="s">
        <v>221</v>
      </c>
      <c r="H17" s="35"/>
      <c r="I17" s="35"/>
      <c r="J17" s="37"/>
      <c r="K17" s="37"/>
      <c r="L17" s="37"/>
      <c r="M17" s="1" t="s">
        <v>222</v>
      </c>
      <c r="N17" s="1" t="s">
        <v>223</v>
      </c>
      <c r="O17" s="35"/>
    </row>
    <row r="18" spans="1:15">
      <c r="A18" s="33">
        <v>43132</v>
      </c>
      <c r="B18" s="35">
        <v>69593</v>
      </c>
      <c r="C18" s="35" t="s">
        <v>49</v>
      </c>
      <c r="D18" s="8" t="s">
        <v>384</v>
      </c>
      <c r="E18" s="9" t="s">
        <v>609</v>
      </c>
      <c r="F18" s="4" t="str">
        <f>HYPERLINK("https://stat100.ameba.jp/tnk47/ratio20/illustrations/card/ill_69593_0_setsubunyukionna03.jpg", "■")</f>
        <v>■</v>
      </c>
      <c r="G18" s="1" t="s">
        <v>414</v>
      </c>
      <c r="H18" s="35" t="s">
        <v>590</v>
      </c>
      <c r="I18" s="35"/>
      <c r="J18" s="36" t="s">
        <v>1205</v>
      </c>
      <c r="K18" s="36" t="s">
        <v>1206</v>
      </c>
      <c r="L18" s="36" t="s">
        <v>1207</v>
      </c>
      <c r="M18" s="1" t="s">
        <v>415</v>
      </c>
      <c r="N18" s="1" t="s">
        <v>416</v>
      </c>
      <c r="O18" s="35" t="s">
        <v>1316</v>
      </c>
    </row>
    <row r="19" spans="1:15">
      <c r="A19" s="34"/>
      <c r="B19" s="35"/>
      <c r="C19" s="35"/>
      <c r="D19" s="8" t="s">
        <v>417</v>
      </c>
      <c r="E19" s="9" t="s">
        <v>722</v>
      </c>
      <c r="F19" s="4" t="str">
        <f>HYPERLINK("https://stat100.ameba.jp/tnk47/ratio20/illustrations/card/ill_69593_1_setsubunyukionna03.jpg", "■")</f>
        <v>■</v>
      </c>
      <c r="G19" s="1" t="s">
        <v>418</v>
      </c>
      <c r="H19" s="35"/>
      <c r="I19" s="35"/>
      <c r="J19" s="37"/>
      <c r="K19" s="37"/>
      <c r="L19" s="37"/>
      <c r="M19" s="1" t="s">
        <v>419</v>
      </c>
      <c r="N19" s="1" t="s">
        <v>420</v>
      </c>
      <c r="O19" s="35"/>
    </row>
    <row r="20" spans="1:15">
      <c r="A20" s="34"/>
      <c r="B20" s="35"/>
      <c r="C20" s="35"/>
      <c r="D20" s="8" t="s">
        <v>421</v>
      </c>
      <c r="E20" s="9" t="s">
        <v>723</v>
      </c>
      <c r="F20" s="4" t="str">
        <f>HYPERLINK("https://stat100.ameba.jp/tnk47/ratio20/illustrations/card/ill_69593_2_setsubunyukionna03.jpg", "■")</f>
        <v>■</v>
      </c>
      <c r="G20" s="1" t="s">
        <v>422</v>
      </c>
      <c r="H20" s="35"/>
      <c r="I20" s="35"/>
      <c r="J20" s="37"/>
      <c r="K20" s="37"/>
      <c r="L20" s="37"/>
      <c r="M20" s="1" t="s">
        <v>423</v>
      </c>
      <c r="N20" s="1" t="s">
        <v>424</v>
      </c>
      <c r="O20" s="35"/>
    </row>
    <row r="21" spans="1:15">
      <c r="A21" s="33">
        <v>43344</v>
      </c>
      <c r="B21" s="35">
        <v>75393</v>
      </c>
      <c r="C21" s="35" t="s">
        <v>49</v>
      </c>
      <c r="D21" s="8" t="s">
        <v>24</v>
      </c>
      <c r="E21" s="9" t="s">
        <v>724</v>
      </c>
      <c r="F21" s="4" t="str">
        <f>HYPERLINK("https://stat100.ameba.jp/tnk47/ratio20/illustrations/card/ill_75393_0_resukuinotsukisamaniittausagi03.jpg", "■")</f>
        <v>■</v>
      </c>
      <c r="G21" s="1" t="s">
        <v>53</v>
      </c>
      <c r="H21" s="35" t="s">
        <v>590</v>
      </c>
      <c r="I21" s="35"/>
      <c r="J21" s="36" t="s">
        <v>969</v>
      </c>
      <c r="K21" s="36" t="s">
        <v>1015</v>
      </c>
      <c r="L21" s="36" t="s">
        <v>1014</v>
      </c>
      <c r="M21" s="1" t="s">
        <v>60</v>
      </c>
      <c r="N21" s="1" t="s">
        <v>61</v>
      </c>
      <c r="O21" s="35" t="s">
        <v>1322</v>
      </c>
    </row>
    <row r="22" spans="1:15">
      <c r="A22" s="34"/>
      <c r="B22" s="35"/>
      <c r="C22" s="35"/>
      <c r="D22" s="8" t="s">
        <v>51</v>
      </c>
      <c r="E22" s="9" t="s">
        <v>725</v>
      </c>
      <c r="F22" s="4" t="str">
        <f>HYPERLINK("https://stat100.ameba.jp/tnk47/ratio20/illustrations/card/ill_75393_1_resukuinotsukisamaniittausagi03.jpg", "■")</f>
        <v>■</v>
      </c>
      <c r="G22" s="1" t="s">
        <v>54</v>
      </c>
      <c r="H22" s="35"/>
      <c r="I22" s="35"/>
      <c r="J22" s="37"/>
      <c r="K22" s="37"/>
      <c r="L22" s="37"/>
      <c r="M22" s="1" t="s">
        <v>58</v>
      </c>
      <c r="N22" s="1" t="s">
        <v>59</v>
      </c>
      <c r="O22" s="35"/>
    </row>
    <row r="23" spans="1:15">
      <c r="A23" s="34"/>
      <c r="B23" s="35"/>
      <c r="C23" s="35"/>
      <c r="D23" s="8" t="s">
        <v>52</v>
      </c>
      <c r="E23" s="9" t="s">
        <v>726</v>
      </c>
      <c r="F23" s="4" t="str">
        <f>HYPERLINK("https://stat100.ameba.jp/tnk47/ratio20/illustrations/card/ill_75393_2_resukuinotsukisamaniittausagi03.jpg", "■")</f>
        <v>■</v>
      </c>
      <c r="G23" s="1" t="s">
        <v>55</v>
      </c>
      <c r="H23" s="35"/>
      <c r="I23" s="35"/>
      <c r="J23" s="37"/>
      <c r="K23" s="37"/>
      <c r="L23" s="37"/>
      <c r="M23" s="1" t="s">
        <v>56</v>
      </c>
      <c r="N23" s="1" t="s">
        <v>57</v>
      </c>
      <c r="O23" s="35"/>
    </row>
  </sheetData>
  <mergeCells count="63">
    <mergeCell ref="O18:O20"/>
    <mergeCell ref="O21:O23"/>
    <mergeCell ref="O3:O5"/>
    <mergeCell ref="O6:O8"/>
    <mergeCell ref="O9:O11"/>
    <mergeCell ref="O12:O14"/>
    <mergeCell ref="O15:O17"/>
    <mergeCell ref="A3:A5"/>
    <mergeCell ref="J15:J17"/>
    <mergeCell ref="K15:K17"/>
    <mergeCell ref="L15:L17"/>
    <mergeCell ref="L6:L8"/>
    <mergeCell ref="A6:A8"/>
    <mergeCell ref="C3:C5"/>
    <mergeCell ref="J3:J5"/>
    <mergeCell ref="K3:K5"/>
    <mergeCell ref="L3:L5"/>
    <mergeCell ref="C15:C17"/>
    <mergeCell ref="C6:C8"/>
    <mergeCell ref="J6:J8"/>
    <mergeCell ref="K6:K8"/>
    <mergeCell ref="K12:K14"/>
    <mergeCell ref="L12:L14"/>
    <mergeCell ref="K9:K11"/>
    <mergeCell ref="L9:L11"/>
    <mergeCell ref="L18:L20"/>
    <mergeCell ref="K21:K23"/>
    <mergeCell ref="K18:K20"/>
    <mergeCell ref="L21:L23"/>
    <mergeCell ref="A21:A23"/>
    <mergeCell ref="A9:A11"/>
    <mergeCell ref="C12:C14"/>
    <mergeCell ref="J12:J14"/>
    <mergeCell ref="A12:A14"/>
    <mergeCell ref="A15:A17"/>
    <mergeCell ref="C21:C23"/>
    <mergeCell ref="C9:C11"/>
    <mergeCell ref="J21:J23"/>
    <mergeCell ref="A18:A20"/>
    <mergeCell ref="C18:C20"/>
    <mergeCell ref="J18:J20"/>
    <mergeCell ref="J9:J11"/>
    <mergeCell ref="H12:H14"/>
    <mergeCell ref="I12:I14"/>
    <mergeCell ref="H15:H17"/>
    <mergeCell ref="B18:B20"/>
    <mergeCell ref="B21:B23"/>
    <mergeCell ref="B3:B5"/>
    <mergeCell ref="B6:B8"/>
    <mergeCell ref="B9:B11"/>
    <mergeCell ref="B12:B14"/>
    <mergeCell ref="B15:B17"/>
    <mergeCell ref="H3:H5"/>
    <mergeCell ref="I3:I5"/>
    <mergeCell ref="H6:H8"/>
    <mergeCell ref="I6:I8"/>
    <mergeCell ref="H9:H11"/>
    <mergeCell ref="I9:I11"/>
    <mergeCell ref="I15:I17"/>
    <mergeCell ref="H18:H20"/>
    <mergeCell ref="I18:I20"/>
    <mergeCell ref="H21:H23"/>
    <mergeCell ref="I21:I23"/>
  </mergeCells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54AB-EC41-4055-8682-5B0BD4DFACAA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11" style="1" customWidth="1"/>
    <col min="2" max="2" width="6.4140625" style="1" customWidth="1"/>
    <col min="3" max="3" width="10.9140625" style="1" customWidth="1"/>
    <col min="4" max="4" width="6.75" style="1" customWidth="1"/>
    <col min="5" max="5" width="32" style="1" customWidth="1"/>
    <col min="6" max="6" width="3.75" style="7" customWidth="1"/>
    <col min="7" max="7" width="25.58203125" style="1" hidden="1" customWidth="1"/>
    <col min="8" max="9" width="17.9140625" style="5" hidden="1" customWidth="1"/>
    <col min="10" max="10" width="5.9140625" style="1" customWidth="1"/>
    <col min="11" max="12" width="8.9140625" style="1" customWidth="1"/>
    <col min="13" max="13" width="16.08203125" style="1" hidden="1" customWidth="1"/>
    <col min="14" max="14" width="72.5" style="1" customWidth="1"/>
    <col min="15" max="15" width="14.5" style="26" customWidth="1"/>
    <col min="16" max="16384" width="8.9140625" style="1"/>
  </cols>
  <sheetData>
    <row r="1" spans="1:15">
      <c r="A1" s="2" t="s">
        <v>511</v>
      </c>
      <c r="B1" s="2" t="s">
        <v>495</v>
      </c>
      <c r="C1" s="3" t="s">
        <v>0</v>
      </c>
      <c r="D1" s="2" t="s">
        <v>1</v>
      </c>
      <c r="E1" s="2" t="s">
        <v>2</v>
      </c>
      <c r="F1" s="2" t="s">
        <v>607</v>
      </c>
      <c r="G1" s="2" t="s">
        <v>494</v>
      </c>
      <c r="H1" s="2" t="s">
        <v>584</v>
      </c>
      <c r="I1" s="2" t="s">
        <v>585</v>
      </c>
      <c r="J1" s="2" t="s">
        <v>3</v>
      </c>
      <c r="K1" s="2" t="s">
        <v>243</v>
      </c>
      <c r="L1" s="2" t="s">
        <v>244</v>
      </c>
      <c r="M1" s="2" t="s">
        <v>4</v>
      </c>
      <c r="N1" s="2" t="s">
        <v>613</v>
      </c>
      <c r="O1" s="2" t="s">
        <v>1255</v>
      </c>
    </row>
    <row r="3" spans="1:15">
      <c r="A3" s="33">
        <v>42217</v>
      </c>
      <c r="B3" s="35">
        <v>40913</v>
      </c>
      <c r="C3" s="35" t="s">
        <v>41</v>
      </c>
      <c r="D3" s="8" t="s">
        <v>31</v>
      </c>
      <c r="E3" s="9" t="s">
        <v>727</v>
      </c>
      <c r="F3" s="4" t="str">
        <f>HYPERLINK("https://stat100.ameba.jp/tnk47/ratio20/illustrations/card/ill_40913_0_reigyokudensetsufusehime03.jpg", "■")</f>
        <v>■</v>
      </c>
      <c r="G3" s="1" t="s">
        <v>124</v>
      </c>
      <c r="H3" s="35"/>
      <c r="I3" s="35"/>
      <c r="J3" s="36" t="s">
        <v>1214</v>
      </c>
      <c r="K3" s="36" t="s">
        <v>1215</v>
      </c>
      <c r="L3" s="36" t="s">
        <v>1216</v>
      </c>
      <c r="M3" s="1" t="s">
        <v>123</v>
      </c>
      <c r="N3" s="1" t="s">
        <v>122</v>
      </c>
      <c r="O3" s="35"/>
    </row>
    <row r="4" spans="1:15">
      <c r="A4" s="34"/>
      <c r="B4" s="35"/>
      <c r="C4" s="35"/>
      <c r="D4" s="8" t="s">
        <v>42</v>
      </c>
      <c r="E4" s="9" t="s">
        <v>728</v>
      </c>
      <c r="F4" s="4" t="str">
        <f>HYPERLINK("https://stat100.ameba.jp/tnk47/ratio20/illustrations/card/ill_40913_1_reigyokudensetsufusehime03.jpg", "■")</f>
        <v>■</v>
      </c>
      <c r="G4" s="1" t="s">
        <v>125</v>
      </c>
      <c r="H4" s="35"/>
      <c r="I4" s="35"/>
      <c r="J4" s="37"/>
      <c r="K4" s="37"/>
      <c r="L4" s="37"/>
      <c r="M4" s="1" t="s">
        <v>126</v>
      </c>
      <c r="N4" s="1" t="s">
        <v>127</v>
      </c>
      <c r="O4" s="35"/>
    </row>
    <row r="5" spans="1:15">
      <c r="A5" s="34"/>
      <c r="B5" s="35"/>
      <c r="C5" s="35"/>
      <c r="D5" s="8" t="s">
        <v>114</v>
      </c>
      <c r="E5" s="9" t="s">
        <v>729</v>
      </c>
      <c r="F5" s="4" t="str">
        <f>HYPERLINK("https://stat100.ameba.jp/tnk47/ratio20/illustrations/card/ill_40913_2_reigyokudensetsufusehime03.jpg", "■")</f>
        <v>■</v>
      </c>
      <c r="G5" s="1" t="s">
        <v>128</v>
      </c>
      <c r="H5" s="35"/>
      <c r="I5" s="35"/>
      <c r="J5" s="37"/>
      <c r="K5" s="37"/>
      <c r="L5" s="37"/>
      <c r="M5" s="1" t="s">
        <v>129</v>
      </c>
      <c r="N5" s="1" t="s">
        <v>130</v>
      </c>
      <c r="O5" s="35"/>
    </row>
    <row r="6" spans="1:15">
      <c r="A6" s="33">
        <v>42401</v>
      </c>
      <c r="B6" s="35">
        <v>48283</v>
      </c>
      <c r="C6" s="35" t="s">
        <v>41</v>
      </c>
      <c r="D6" s="8" t="s">
        <v>311</v>
      </c>
      <c r="E6" s="9" t="s">
        <v>730</v>
      </c>
      <c r="F6" s="4" t="str">
        <f>HYPERLINK("https://stat100.ameba.jp/tnk47/ratio20/illustrations/card/ill_48283_0_kyuubitamamonomae03.jpg", "■")</f>
        <v>■</v>
      </c>
      <c r="G6" s="1" t="s">
        <v>303</v>
      </c>
      <c r="H6" s="35" t="s">
        <v>589</v>
      </c>
      <c r="I6" s="35"/>
      <c r="J6" s="36" t="s">
        <v>1010</v>
      </c>
      <c r="K6" s="36" t="s">
        <v>1011</v>
      </c>
      <c r="L6" s="36" t="s">
        <v>1012</v>
      </c>
      <c r="M6" s="1" t="s">
        <v>304</v>
      </c>
      <c r="N6" s="1" t="s">
        <v>239</v>
      </c>
      <c r="O6" s="35"/>
    </row>
    <row r="7" spans="1:15">
      <c r="A7" s="34"/>
      <c r="B7" s="35"/>
      <c r="C7" s="35"/>
      <c r="D7" s="8" t="s">
        <v>312</v>
      </c>
      <c r="E7" s="9" t="s">
        <v>731</v>
      </c>
      <c r="F7" s="4" t="str">
        <f>HYPERLINK("https://stat100.ameba.jp/tnk47/ratio20/illustrations/card/ill_48283_1_kyuubitamamonomae03.jpg", "■")</f>
        <v>■</v>
      </c>
      <c r="G7" s="1" t="s">
        <v>310</v>
      </c>
      <c r="H7" s="35"/>
      <c r="I7" s="35"/>
      <c r="J7" s="37"/>
      <c r="K7" s="37"/>
      <c r="L7" s="37"/>
      <c r="M7" s="1" t="s">
        <v>305</v>
      </c>
      <c r="N7" s="1" t="s">
        <v>306</v>
      </c>
      <c r="O7" s="35"/>
    </row>
    <row r="8" spans="1:15">
      <c r="A8" s="34"/>
      <c r="B8" s="35"/>
      <c r="C8" s="35"/>
      <c r="D8" s="8" t="s">
        <v>313</v>
      </c>
      <c r="E8" s="9" t="s">
        <v>732</v>
      </c>
      <c r="F8" s="4" t="str">
        <f>HYPERLINK("https://stat100.ameba.jp/tnk47/ratio20/illustrations/card/ill_48283_2_kyuubitamamonomae03.jpg", "■")</f>
        <v>■</v>
      </c>
      <c r="G8" s="1" t="s">
        <v>307</v>
      </c>
      <c r="H8" s="35"/>
      <c r="I8" s="35"/>
      <c r="J8" s="37"/>
      <c r="K8" s="37"/>
      <c r="L8" s="37"/>
      <c r="M8" s="1" t="s">
        <v>308</v>
      </c>
      <c r="N8" s="1" t="s">
        <v>309</v>
      </c>
      <c r="O8" s="35"/>
    </row>
    <row r="9" spans="1:15">
      <c r="A9" s="33">
        <v>42583</v>
      </c>
      <c r="B9" s="35">
        <v>53753</v>
      </c>
      <c r="C9" s="35" t="s">
        <v>41</v>
      </c>
      <c r="D9" s="8" t="s">
        <v>93</v>
      </c>
      <c r="E9" s="9" t="s">
        <v>733</v>
      </c>
      <c r="F9" s="4" t="str">
        <f>HYPERLINK("https://stat100.ameba.jp/tnk47/ratio20/illustrations/card/ill_53753_0_natsumatsuritokugawaieyasu03.jpg", "■")</f>
        <v>■</v>
      </c>
      <c r="G9" s="1" t="s">
        <v>162</v>
      </c>
      <c r="H9" s="35" t="s">
        <v>590</v>
      </c>
      <c r="I9" s="35"/>
      <c r="J9" s="36" t="s">
        <v>557</v>
      </c>
      <c r="K9" s="36" t="s">
        <v>558</v>
      </c>
      <c r="L9" s="36" t="s">
        <v>559</v>
      </c>
      <c r="M9" s="1" t="s">
        <v>163</v>
      </c>
      <c r="N9" s="1" t="s">
        <v>164</v>
      </c>
      <c r="O9" s="35" t="s">
        <v>1299</v>
      </c>
    </row>
    <row r="10" spans="1:15">
      <c r="A10" s="34"/>
      <c r="B10" s="35"/>
      <c r="C10" s="35"/>
      <c r="D10" s="8" t="s">
        <v>160</v>
      </c>
      <c r="E10" s="9" t="s">
        <v>738</v>
      </c>
      <c r="F10" s="4" t="str">
        <f>HYPERLINK("https://stat100.ameba.jp/tnk47/ratio20/illustrations/card/ill_53753_1_natsumatsuritokugawaieyasu03.jpg", "■")</f>
        <v>■</v>
      </c>
      <c r="G10" s="1" t="s">
        <v>165</v>
      </c>
      <c r="H10" s="35"/>
      <c r="I10" s="35"/>
      <c r="J10" s="37"/>
      <c r="K10" s="37"/>
      <c r="L10" s="37"/>
      <c r="M10" s="1" t="s">
        <v>166</v>
      </c>
      <c r="N10" s="1" t="s">
        <v>167</v>
      </c>
      <c r="O10" s="35"/>
    </row>
    <row r="11" spans="1:15">
      <c r="A11" s="34"/>
      <c r="B11" s="35"/>
      <c r="C11" s="35"/>
      <c r="D11" s="8" t="s">
        <v>161</v>
      </c>
      <c r="E11" s="9" t="s">
        <v>744</v>
      </c>
      <c r="F11" s="4" t="str">
        <f>HYPERLINK("https://stat100.ameba.jp/tnk47/ratio20/illustrations/card/ill_53753_2_natsumatsuritokugawaieyasu03.jpg", "■")</f>
        <v>■</v>
      </c>
      <c r="G11" s="1" t="s">
        <v>168</v>
      </c>
      <c r="H11" s="35"/>
      <c r="I11" s="35"/>
      <c r="J11" s="37"/>
      <c r="K11" s="37"/>
      <c r="L11" s="37"/>
      <c r="M11" s="1" t="s">
        <v>169</v>
      </c>
      <c r="N11" s="1" t="s">
        <v>72</v>
      </c>
      <c r="O11" s="35"/>
    </row>
    <row r="12" spans="1:15">
      <c r="A12" s="33">
        <v>42767</v>
      </c>
      <c r="B12" s="35">
        <v>58853</v>
      </c>
      <c r="C12" s="35" t="s">
        <v>41</v>
      </c>
      <c r="D12" s="8" t="s">
        <v>184</v>
      </c>
      <c r="E12" s="9" t="s">
        <v>734</v>
      </c>
      <c r="F12" s="4" t="str">
        <f>HYPERLINK("https://stat100.ameba.jp/tnk47/ratio20/illustrations/card/ill_58853_0_setsubumpanikkuhiratsukaraicho03.jpg", "■")</f>
        <v>■</v>
      </c>
      <c r="G12" s="1" t="s">
        <v>224</v>
      </c>
      <c r="H12" s="35" t="s">
        <v>590</v>
      </c>
      <c r="I12" s="35"/>
      <c r="J12" s="36" t="s">
        <v>900</v>
      </c>
      <c r="K12" s="36" t="s">
        <v>901</v>
      </c>
      <c r="L12" s="36" t="s">
        <v>902</v>
      </c>
      <c r="M12" s="1" t="s">
        <v>187</v>
      </c>
      <c r="N12" s="1" t="s">
        <v>186</v>
      </c>
      <c r="O12" s="35" t="s">
        <v>1305</v>
      </c>
    </row>
    <row r="13" spans="1:15">
      <c r="A13" s="34"/>
      <c r="B13" s="35"/>
      <c r="C13" s="35"/>
      <c r="D13" s="8" t="s">
        <v>185</v>
      </c>
      <c r="E13" s="9" t="s">
        <v>739</v>
      </c>
      <c r="F13" s="4" t="str">
        <f>HYPERLINK("https://stat100.ameba.jp/tnk47/ratio20/illustrations/card/ill_58853_1_setsubumpanikkuhiratsukaraicho03.jpg", "■")</f>
        <v>■</v>
      </c>
      <c r="G13" s="1" t="s">
        <v>225</v>
      </c>
      <c r="H13" s="35"/>
      <c r="I13" s="35"/>
      <c r="J13" s="37"/>
      <c r="K13" s="37"/>
      <c r="L13" s="37"/>
      <c r="M13" s="1" t="s">
        <v>226</v>
      </c>
      <c r="N13" s="1" t="s">
        <v>227</v>
      </c>
      <c r="O13" s="35"/>
    </row>
    <row r="14" spans="1:15">
      <c r="A14" s="34"/>
      <c r="B14" s="35"/>
      <c r="C14" s="35"/>
      <c r="D14" s="8" t="s">
        <v>182</v>
      </c>
      <c r="E14" s="9" t="s">
        <v>745</v>
      </c>
      <c r="F14" s="4" t="str">
        <f>HYPERLINK("https://stat100.ameba.jp/tnk47/ratio20/illustrations/card/ill_58853_2_setsubumpanikkuhiratsukaraicho03.jpg", "■")</f>
        <v>■</v>
      </c>
      <c r="G14" s="1" t="s">
        <v>228</v>
      </c>
      <c r="H14" s="35"/>
      <c r="I14" s="35"/>
      <c r="J14" s="37"/>
      <c r="K14" s="37"/>
      <c r="L14" s="37"/>
      <c r="M14" s="1" t="s">
        <v>229</v>
      </c>
      <c r="N14" s="1" t="s">
        <v>230</v>
      </c>
      <c r="O14" s="35"/>
    </row>
    <row r="15" spans="1:15">
      <c r="A15" s="33">
        <v>42887</v>
      </c>
      <c r="B15" s="35">
        <v>63173</v>
      </c>
      <c r="C15" s="35" t="s">
        <v>41</v>
      </c>
      <c r="D15" s="8" t="s">
        <v>93</v>
      </c>
      <c r="E15" s="9" t="s">
        <v>735</v>
      </c>
      <c r="F15" s="4" t="str">
        <f>HYPERLINK("https://stat100.ameba.jp/tnk47/ratio20/illustrations/card/ill_63173_0_minazukikonakaiteruko03.jpg", "■")</f>
        <v>■</v>
      </c>
      <c r="G15" s="1" t="s">
        <v>198</v>
      </c>
      <c r="H15" s="35"/>
      <c r="I15" s="35"/>
      <c r="J15" s="36" t="s">
        <v>969</v>
      </c>
      <c r="K15" s="36" t="s">
        <v>970</v>
      </c>
      <c r="L15" s="36" t="s">
        <v>971</v>
      </c>
      <c r="M15" s="1" t="s">
        <v>199</v>
      </c>
      <c r="N15" s="1" t="s">
        <v>200</v>
      </c>
      <c r="O15" s="35" t="s">
        <v>1309</v>
      </c>
    </row>
    <row r="16" spans="1:15">
      <c r="A16" s="34"/>
      <c r="B16" s="35"/>
      <c r="C16" s="35"/>
      <c r="D16" s="8" t="s">
        <v>160</v>
      </c>
      <c r="E16" s="9" t="s">
        <v>740</v>
      </c>
      <c r="F16" s="4" t="str">
        <f>HYPERLINK("https://stat100.ameba.jp/tnk47/ratio20/illustrations/card/ill_63173_1_minazukikonakaiteruko03.jpg", "■")</f>
        <v>■</v>
      </c>
      <c r="G16" s="1" t="s">
        <v>201</v>
      </c>
      <c r="H16" s="35"/>
      <c r="I16" s="35"/>
      <c r="J16" s="37"/>
      <c r="K16" s="37"/>
      <c r="L16" s="37"/>
      <c r="M16" s="1" t="s">
        <v>202</v>
      </c>
      <c r="N16" s="1" t="s">
        <v>203</v>
      </c>
      <c r="O16" s="35"/>
    </row>
    <row r="17" spans="1:15">
      <c r="A17" s="34"/>
      <c r="B17" s="35"/>
      <c r="C17" s="35"/>
      <c r="D17" s="8" t="s">
        <v>184</v>
      </c>
      <c r="E17" s="9" t="s">
        <v>747</v>
      </c>
      <c r="F17" s="4" t="str">
        <f>HYPERLINK("https://stat100.ameba.jp/tnk47/ratio20/illustrations/card/ill_63173_2_minazukikonakaiteruko03.jpg", "■")</f>
        <v>■</v>
      </c>
      <c r="G17" s="1" t="s">
        <v>204</v>
      </c>
      <c r="H17" s="35"/>
      <c r="I17" s="35"/>
      <c r="J17" s="37"/>
      <c r="K17" s="37"/>
      <c r="L17" s="37"/>
      <c r="M17" s="1" t="s">
        <v>205</v>
      </c>
      <c r="N17" s="1" t="s">
        <v>206</v>
      </c>
      <c r="O17" s="35"/>
    </row>
    <row r="18" spans="1:15">
      <c r="A18" s="33">
        <v>43070</v>
      </c>
      <c r="B18" s="35">
        <v>68033</v>
      </c>
      <c r="C18" s="35" t="s">
        <v>41</v>
      </c>
      <c r="D18" s="8" t="s">
        <v>42</v>
      </c>
      <c r="E18" s="9" t="s">
        <v>736</v>
      </c>
      <c r="F18" s="4" t="str">
        <f>HYPERLINK("https://stat100.ameba.jp/tnk47/ratio20/illustrations/card/ill_68033_0_kurisumasupateikandamyojin03.jpg", "■")</f>
        <v>■</v>
      </c>
      <c r="G18" s="1" t="s">
        <v>43</v>
      </c>
      <c r="H18" s="35" t="s">
        <v>586</v>
      </c>
      <c r="I18" s="35"/>
      <c r="J18" s="36" t="s">
        <v>1094</v>
      </c>
      <c r="K18" s="36" t="s">
        <v>1095</v>
      </c>
      <c r="L18" s="36" t="s">
        <v>1096</v>
      </c>
      <c r="M18" s="1" t="s">
        <v>46</v>
      </c>
      <c r="N18" s="1" t="s">
        <v>551</v>
      </c>
      <c r="O18" s="35" t="s">
        <v>1314</v>
      </c>
    </row>
    <row r="19" spans="1:15">
      <c r="A19" s="34"/>
      <c r="B19" s="35"/>
      <c r="C19" s="35"/>
      <c r="D19" s="8" t="s">
        <v>8</v>
      </c>
      <c r="E19" s="9" t="s">
        <v>741</v>
      </c>
      <c r="F19" s="4" t="str">
        <f>HYPERLINK("https://stat100.ameba.jp/tnk47/ratio20/illustrations/card/ill_68033_1_kurisumasupateikandamyojin03.jpg", "■")</f>
        <v>■</v>
      </c>
      <c r="G19" s="1" t="s">
        <v>44</v>
      </c>
      <c r="H19" s="35"/>
      <c r="I19" s="35"/>
      <c r="J19" s="37"/>
      <c r="K19" s="37"/>
      <c r="L19" s="37"/>
      <c r="M19" s="1" t="s">
        <v>47</v>
      </c>
      <c r="N19" s="1" t="s">
        <v>552</v>
      </c>
      <c r="O19" s="35"/>
    </row>
    <row r="20" spans="1:15">
      <c r="A20" s="34"/>
      <c r="B20" s="35"/>
      <c r="C20" s="35"/>
      <c r="D20" s="8" t="s">
        <v>23</v>
      </c>
      <c r="E20" s="9" t="s">
        <v>746</v>
      </c>
      <c r="F20" s="4" t="str">
        <f>HYPERLINK("https://stat100.ameba.jp/tnk47/ratio20/illustrations/card/ill_68033_2_kurisumasupateikandamyojin03.jpg", "■")</f>
        <v>■</v>
      </c>
      <c r="G20" s="1" t="s">
        <v>45</v>
      </c>
      <c r="H20" s="35"/>
      <c r="I20" s="35"/>
      <c r="J20" s="37"/>
      <c r="K20" s="37"/>
      <c r="L20" s="37"/>
      <c r="M20" s="1" t="s">
        <v>48</v>
      </c>
      <c r="N20" s="1" t="s">
        <v>553</v>
      </c>
      <c r="O20" s="35"/>
    </row>
    <row r="21" spans="1:15">
      <c r="A21" s="33">
        <v>43252</v>
      </c>
      <c r="B21" s="35">
        <v>72963</v>
      </c>
      <c r="C21" s="35" t="s">
        <v>41</v>
      </c>
      <c r="D21" s="8" t="s">
        <v>62</v>
      </c>
      <c r="E21" s="9" t="s">
        <v>737</v>
      </c>
      <c r="F21" s="4" t="str">
        <f>HYPERLINK("https://stat100.ameba.jp/tnk47/ratio20/illustrations/card/ill_72963_0_amenohanayomehiguchiichiyo03.jpg", "■")</f>
        <v>■</v>
      </c>
      <c r="G21" s="1" t="s">
        <v>338</v>
      </c>
      <c r="H21" s="35" t="s">
        <v>591</v>
      </c>
      <c r="I21" s="35"/>
      <c r="J21" s="36" t="s">
        <v>1196</v>
      </c>
      <c r="K21" s="36" t="s">
        <v>1197</v>
      </c>
      <c r="L21" s="36" t="s">
        <v>1198</v>
      </c>
      <c r="M21" s="1" t="s">
        <v>339</v>
      </c>
      <c r="N21" s="1" t="s">
        <v>342</v>
      </c>
      <c r="O21" s="35" t="s">
        <v>1320</v>
      </c>
    </row>
    <row r="22" spans="1:15">
      <c r="A22" s="34"/>
      <c r="B22" s="35"/>
      <c r="C22" s="35"/>
      <c r="D22" s="8" t="s">
        <v>31</v>
      </c>
      <c r="E22" s="9" t="s">
        <v>742</v>
      </c>
      <c r="F22" s="4" t="str">
        <f>HYPERLINK("https://stat100.ameba.jp/tnk47/ratio20/illustrations/card/ill_72963_1_amenohanayomehiguchiichiyo03.jpg", "■")</f>
        <v>■</v>
      </c>
      <c r="G22" s="1" t="s">
        <v>337</v>
      </c>
      <c r="H22" s="35"/>
      <c r="I22" s="35"/>
      <c r="J22" s="37"/>
      <c r="K22" s="37"/>
      <c r="L22" s="37"/>
      <c r="M22" s="1" t="s">
        <v>340</v>
      </c>
      <c r="N22" s="1" t="s">
        <v>341</v>
      </c>
      <c r="O22" s="35"/>
    </row>
    <row r="23" spans="1:15">
      <c r="A23" s="34"/>
      <c r="B23" s="35"/>
      <c r="C23" s="35"/>
      <c r="D23" s="8" t="s">
        <v>51</v>
      </c>
      <c r="E23" s="9" t="s">
        <v>743</v>
      </c>
      <c r="F23" s="4" t="str">
        <f>HYPERLINK("https://stat100.ameba.jp/tnk47/ratio20/illustrations/card/ill_72963_2_amenohanayomehiguchiichiyo03.jpg", "■")</f>
        <v>■</v>
      </c>
      <c r="G23" s="1" t="s">
        <v>343</v>
      </c>
      <c r="H23" s="35"/>
      <c r="I23" s="35"/>
      <c r="J23" s="37"/>
      <c r="K23" s="37"/>
      <c r="L23" s="37"/>
      <c r="M23" s="1" t="s">
        <v>344</v>
      </c>
      <c r="N23" s="1" t="s">
        <v>345</v>
      </c>
      <c r="O23" s="35"/>
    </row>
  </sheetData>
  <mergeCells count="63">
    <mergeCell ref="O18:O20"/>
    <mergeCell ref="O21:O23"/>
    <mergeCell ref="O3:O5"/>
    <mergeCell ref="O6:O8"/>
    <mergeCell ref="O9:O11"/>
    <mergeCell ref="O12:O14"/>
    <mergeCell ref="O15:O17"/>
    <mergeCell ref="A21:A23"/>
    <mergeCell ref="C21:C23"/>
    <mergeCell ref="J21:J23"/>
    <mergeCell ref="K21:K23"/>
    <mergeCell ref="L21:L23"/>
    <mergeCell ref="H21:H23"/>
    <mergeCell ref="I21:I23"/>
    <mergeCell ref="L12:L14"/>
    <mergeCell ref="K18:K20"/>
    <mergeCell ref="L18:L20"/>
    <mergeCell ref="K15:K17"/>
    <mergeCell ref="L15:L17"/>
    <mergeCell ref="A12:A14"/>
    <mergeCell ref="C12:C14"/>
    <mergeCell ref="J12:J14"/>
    <mergeCell ref="K12:K14"/>
    <mergeCell ref="A18:A20"/>
    <mergeCell ref="A15:A17"/>
    <mergeCell ref="C15:C17"/>
    <mergeCell ref="J15:J17"/>
    <mergeCell ref="C18:C20"/>
    <mergeCell ref="J18:J20"/>
    <mergeCell ref="H12:H14"/>
    <mergeCell ref="I12:I14"/>
    <mergeCell ref="H15:H17"/>
    <mergeCell ref="I15:I17"/>
    <mergeCell ref="H18:H20"/>
    <mergeCell ref="I18:I20"/>
    <mergeCell ref="A3:A5"/>
    <mergeCell ref="C9:C11"/>
    <mergeCell ref="J9:J11"/>
    <mergeCell ref="K9:K11"/>
    <mergeCell ref="L9:L11"/>
    <mergeCell ref="A9:A11"/>
    <mergeCell ref="C3:C5"/>
    <mergeCell ref="J3:J5"/>
    <mergeCell ref="K3:K5"/>
    <mergeCell ref="L3:L5"/>
    <mergeCell ref="A6:A8"/>
    <mergeCell ref="C6:C8"/>
    <mergeCell ref="J6:J8"/>
    <mergeCell ref="K6:K8"/>
    <mergeCell ref="L6:L8"/>
    <mergeCell ref="H3:H5"/>
    <mergeCell ref="B18:B20"/>
    <mergeCell ref="B21:B23"/>
    <mergeCell ref="B3:B5"/>
    <mergeCell ref="B6:B8"/>
    <mergeCell ref="B9:B11"/>
    <mergeCell ref="B12:B14"/>
    <mergeCell ref="B15:B17"/>
    <mergeCell ref="I3:I5"/>
    <mergeCell ref="H6:H8"/>
    <mergeCell ref="I6:I8"/>
    <mergeCell ref="H9:H11"/>
    <mergeCell ref="I9:I11"/>
  </mergeCells>
  <phoneticPr fontId="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75F8-D8D8-498D-94B2-6DBF49FAB69C}">
  <dimension ref="A1:O20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11" style="1" customWidth="1"/>
    <col min="2" max="2" width="6.4140625" style="1" customWidth="1"/>
    <col min="3" max="3" width="10.9140625" style="1" customWidth="1"/>
    <col min="4" max="4" width="6.75" style="1" customWidth="1"/>
    <col min="5" max="5" width="31.9140625" style="1" customWidth="1"/>
    <col min="6" max="6" width="3.75" style="7" customWidth="1"/>
    <col min="7" max="7" width="25.58203125" style="1" hidden="1" customWidth="1"/>
    <col min="8" max="9" width="17.9140625" style="5" hidden="1" customWidth="1"/>
    <col min="10" max="10" width="5.9140625" style="1" customWidth="1"/>
    <col min="11" max="12" width="8.9140625" style="1" customWidth="1"/>
    <col min="13" max="13" width="16.08203125" style="1" hidden="1" customWidth="1"/>
    <col min="14" max="14" width="72.5" style="1" customWidth="1"/>
    <col min="15" max="15" width="14.5" style="26" customWidth="1"/>
    <col min="16" max="16384" width="8.9140625" style="1"/>
  </cols>
  <sheetData>
    <row r="1" spans="1:15">
      <c r="A1" s="2" t="s">
        <v>511</v>
      </c>
      <c r="B1" s="2" t="s">
        <v>495</v>
      </c>
      <c r="C1" s="3" t="s">
        <v>0</v>
      </c>
      <c r="D1" s="2" t="s">
        <v>1</v>
      </c>
      <c r="E1" s="2" t="s">
        <v>2</v>
      </c>
      <c r="F1" s="2" t="s">
        <v>607</v>
      </c>
      <c r="G1" s="2" t="s">
        <v>494</v>
      </c>
      <c r="H1" s="2" t="s">
        <v>584</v>
      </c>
      <c r="I1" s="2" t="s">
        <v>585</v>
      </c>
      <c r="J1" s="2" t="s">
        <v>3</v>
      </c>
      <c r="K1" s="2" t="s">
        <v>243</v>
      </c>
      <c r="L1" s="2" t="s">
        <v>244</v>
      </c>
      <c r="M1" s="2" t="s">
        <v>4</v>
      </c>
      <c r="N1" s="2" t="s">
        <v>613</v>
      </c>
      <c r="O1" s="2" t="s">
        <v>1255</v>
      </c>
    </row>
    <row r="3" spans="1:15">
      <c r="A3" s="33">
        <v>42156</v>
      </c>
      <c r="B3" s="35">
        <v>39933</v>
      </c>
      <c r="C3" s="35" t="s">
        <v>103</v>
      </c>
      <c r="D3" s="8" t="s">
        <v>346</v>
      </c>
      <c r="E3" s="9" t="s">
        <v>610</v>
      </c>
      <c r="F3" s="4" t="str">
        <f>HYPERLINK("https://stat100.ameba.jp/tnk47/ratio20/illustrations/card/ill_39933_0_reihiiinaotora03.jpg", "■")</f>
        <v>■</v>
      </c>
      <c r="G3" s="1" t="s">
        <v>349</v>
      </c>
      <c r="H3" s="35"/>
      <c r="I3" s="35"/>
      <c r="J3" s="36" t="s">
        <v>1191</v>
      </c>
      <c r="K3" s="36" t="s">
        <v>1192</v>
      </c>
      <c r="L3" s="36" t="s">
        <v>1193</v>
      </c>
      <c r="M3" s="1" t="s">
        <v>350</v>
      </c>
      <c r="N3" s="1" t="s">
        <v>351</v>
      </c>
      <c r="O3" s="35"/>
    </row>
    <row r="4" spans="1:15">
      <c r="A4" s="34"/>
      <c r="B4" s="35"/>
      <c r="C4" s="35"/>
      <c r="D4" s="8" t="s">
        <v>347</v>
      </c>
      <c r="E4" s="9" t="s">
        <v>748</v>
      </c>
      <c r="F4" s="4" t="str">
        <f>HYPERLINK("https://stat100.ameba.jp/tnk47/ratio20/illustrations/card/ill_39933_1_reihiiinaotora03.jpg", "■")</f>
        <v>■</v>
      </c>
      <c r="G4" s="1" t="s">
        <v>352</v>
      </c>
      <c r="H4" s="35"/>
      <c r="I4" s="35"/>
      <c r="J4" s="37"/>
      <c r="K4" s="37"/>
      <c r="L4" s="37"/>
      <c r="M4" s="1" t="s">
        <v>353</v>
      </c>
      <c r="N4" s="1" t="s">
        <v>214</v>
      </c>
      <c r="O4" s="35"/>
    </row>
    <row r="5" spans="1:15">
      <c r="A5" s="34"/>
      <c r="B5" s="35"/>
      <c r="C5" s="35"/>
      <c r="D5" s="8" t="s">
        <v>348</v>
      </c>
      <c r="E5" s="9" t="s">
        <v>749</v>
      </c>
      <c r="F5" s="4" t="str">
        <f>HYPERLINK("https://stat100.ameba.jp/tnk47/ratio20/illustrations/card/ill_39933_2_reihiiinaotora03.jpg", "■")</f>
        <v>■</v>
      </c>
      <c r="G5" s="1" t="s">
        <v>354</v>
      </c>
      <c r="H5" s="35"/>
      <c r="I5" s="35"/>
      <c r="J5" s="37"/>
      <c r="K5" s="37"/>
      <c r="L5" s="37"/>
      <c r="M5" s="1" t="s">
        <v>355</v>
      </c>
      <c r="N5" s="1" t="s">
        <v>356</v>
      </c>
      <c r="O5" s="35"/>
    </row>
    <row r="6" spans="1:15">
      <c r="A6" s="33">
        <v>42339</v>
      </c>
      <c r="B6" s="35">
        <v>46283</v>
      </c>
      <c r="C6" s="35" t="s">
        <v>103</v>
      </c>
      <c r="D6" s="8" t="s">
        <v>93</v>
      </c>
      <c r="E6" s="9" t="s">
        <v>750</v>
      </c>
      <c r="F6" s="4" t="str">
        <f>HYPERLINK("https://stat100.ameba.jp/tnk47/ratio20/illustrations/card/ill_46283_0_odanobunaga03.jpg", "■")</f>
        <v>■</v>
      </c>
      <c r="G6" s="1" t="s">
        <v>285</v>
      </c>
      <c r="H6" s="35" t="s">
        <v>592</v>
      </c>
      <c r="I6" s="35"/>
      <c r="J6" s="36" t="s">
        <v>1103</v>
      </c>
      <c r="K6" s="36" t="s">
        <v>1104</v>
      </c>
      <c r="L6" s="36" t="s">
        <v>1105</v>
      </c>
      <c r="M6" s="1" t="s">
        <v>284</v>
      </c>
      <c r="N6" s="1" t="s">
        <v>286</v>
      </c>
      <c r="O6" s="35"/>
    </row>
    <row r="7" spans="1:15">
      <c r="A7" s="34"/>
      <c r="B7" s="35"/>
      <c r="C7" s="35"/>
      <c r="D7" s="8" t="s">
        <v>62</v>
      </c>
      <c r="E7" s="9" t="s">
        <v>755</v>
      </c>
      <c r="F7" s="4" t="str">
        <f>HYPERLINK("https://stat100.ameba.jp/tnk47/ratio20/illustrations/card/ill_46283_1_odanobunaga03.jpg", "■")</f>
        <v>■</v>
      </c>
      <c r="G7" s="1" t="s">
        <v>287</v>
      </c>
      <c r="H7" s="35"/>
      <c r="I7" s="35"/>
      <c r="J7" s="37"/>
      <c r="K7" s="37"/>
      <c r="L7" s="37"/>
      <c r="M7" s="1" t="s">
        <v>288</v>
      </c>
      <c r="N7" s="1" t="s">
        <v>289</v>
      </c>
      <c r="O7" s="35"/>
    </row>
    <row r="8" spans="1:15">
      <c r="A8" s="34"/>
      <c r="B8" s="35"/>
      <c r="C8" s="35"/>
      <c r="D8" s="8" t="s">
        <v>15</v>
      </c>
      <c r="E8" s="9" t="s">
        <v>760</v>
      </c>
      <c r="F8" s="4" t="str">
        <f>HYPERLINK("https://stat100.ameba.jp/tnk47/ratio20/illustrations/card/ill_46283_2_odanobunaga03.jpg", "■")</f>
        <v>■</v>
      </c>
      <c r="G8" s="1" t="s">
        <v>290</v>
      </c>
      <c r="H8" s="35"/>
      <c r="I8" s="35"/>
      <c r="J8" s="37"/>
      <c r="K8" s="37"/>
      <c r="L8" s="37"/>
      <c r="M8" s="1" t="s">
        <v>291</v>
      </c>
      <c r="N8" s="1" t="s">
        <v>292</v>
      </c>
      <c r="O8" s="35"/>
    </row>
    <row r="9" spans="1:15">
      <c r="A9" s="33">
        <v>42522</v>
      </c>
      <c r="B9" s="35">
        <v>51973</v>
      </c>
      <c r="C9" s="35" t="s">
        <v>103</v>
      </c>
      <c r="D9" s="8" t="s">
        <v>31</v>
      </c>
      <c r="E9" s="9" t="s">
        <v>751</v>
      </c>
      <c r="F9" s="4" t="str">
        <f>HYPERLINK("https://stat100.ameba.jp/tnk47/ratio20/illustrations/card/ill_51973_0_kemonomizugikuroyuridensetsu03.jpg", "■")</f>
        <v>■</v>
      </c>
      <c r="G9" s="1" t="s">
        <v>141</v>
      </c>
      <c r="H9" s="35"/>
      <c r="I9" s="35"/>
      <c r="J9" s="36" t="s">
        <v>896</v>
      </c>
      <c r="K9" s="36" t="s">
        <v>962</v>
      </c>
      <c r="L9" s="36" t="s">
        <v>963</v>
      </c>
      <c r="M9" s="1" t="s">
        <v>142</v>
      </c>
      <c r="N9" s="1" t="s">
        <v>143</v>
      </c>
      <c r="O9" s="35" t="s">
        <v>1297</v>
      </c>
    </row>
    <row r="10" spans="1:15">
      <c r="A10" s="34"/>
      <c r="B10" s="35"/>
      <c r="C10" s="35"/>
      <c r="D10" s="8" t="s">
        <v>114</v>
      </c>
      <c r="E10" s="9" t="s">
        <v>756</v>
      </c>
      <c r="F10" s="4" t="str">
        <f>HYPERLINK("https://stat100.ameba.jp/tnk47/ratio20/illustrations/card/ill_51973_1_kemonomizugikuroyuridensetsu03.jpg", "■")</f>
        <v>■</v>
      </c>
      <c r="G10" s="1" t="s">
        <v>144</v>
      </c>
      <c r="H10" s="35"/>
      <c r="I10" s="35"/>
      <c r="J10" s="37"/>
      <c r="K10" s="37"/>
      <c r="L10" s="37"/>
      <c r="M10" s="1" t="s">
        <v>145</v>
      </c>
      <c r="N10" s="1" t="s">
        <v>146</v>
      </c>
      <c r="O10" s="35"/>
    </row>
    <row r="11" spans="1:15">
      <c r="A11" s="34"/>
      <c r="B11" s="35"/>
      <c r="C11" s="35"/>
      <c r="D11" s="8" t="s">
        <v>140</v>
      </c>
      <c r="E11" s="9" t="s">
        <v>761</v>
      </c>
      <c r="F11" s="4" t="str">
        <f>HYPERLINK("https://stat100.ameba.jp/tnk47/ratio20/illustrations/card/ill_51973_2_kemonomizugikuroyuridensetsu03.jpg", "■")</f>
        <v>■</v>
      </c>
      <c r="G11" s="1" t="s">
        <v>147</v>
      </c>
      <c r="H11" s="35"/>
      <c r="I11" s="35"/>
      <c r="J11" s="37"/>
      <c r="K11" s="37"/>
      <c r="L11" s="37"/>
      <c r="M11" s="1" t="s">
        <v>148</v>
      </c>
      <c r="N11" s="1" t="s">
        <v>149</v>
      </c>
      <c r="O11" s="35"/>
    </row>
    <row r="12" spans="1:15">
      <c r="A12" s="33">
        <v>42705</v>
      </c>
      <c r="B12" s="35">
        <v>56493</v>
      </c>
      <c r="C12" s="35" t="s">
        <v>103</v>
      </c>
      <c r="D12" s="8" t="s">
        <v>23</v>
      </c>
      <c r="E12" s="9" t="s">
        <v>752</v>
      </c>
      <c r="F12" s="4" t="str">
        <f>HYPERLINK("https://stat100.ameba.jp/tnk47/ratio20/illustrations/card/ill_56493_0_poppukurisumasuikomakitsuno03.jpg", "■")</f>
        <v>■</v>
      </c>
      <c r="G12" s="1" t="s">
        <v>131</v>
      </c>
      <c r="H12" s="35"/>
      <c r="I12" s="35"/>
      <c r="J12" s="36" t="s">
        <v>1218</v>
      </c>
      <c r="K12" s="36" t="s">
        <v>1219</v>
      </c>
      <c r="L12" s="36" t="s">
        <v>1220</v>
      </c>
      <c r="M12" s="1" t="s">
        <v>132</v>
      </c>
      <c r="N12" s="1" t="s">
        <v>133</v>
      </c>
      <c r="O12" s="35" t="s">
        <v>1303</v>
      </c>
    </row>
    <row r="13" spans="1:15">
      <c r="A13" s="34"/>
      <c r="B13" s="35"/>
      <c r="C13" s="35"/>
      <c r="D13" s="8" t="s">
        <v>24</v>
      </c>
      <c r="E13" s="9" t="s">
        <v>757</v>
      </c>
      <c r="F13" s="4" t="str">
        <f>HYPERLINK("https://stat100.ameba.jp/tnk47/ratio20/illustrations/card/ill_56493_1_poppukurisumasuikomakitsuno03.jpg", "■")</f>
        <v>■</v>
      </c>
      <c r="G13" s="1" t="s">
        <v>134</v>
      </c>
      <c r="H13" s="35"/>
      <c r="I13" s="35"/>
      <c r="J13" s="37"/>
      <c r="K13" s="37"/>
      <c r="L13" s="37"/>
      <c r="M13" s="1" t="s">
        <v>135</v>
      </c>
      <c r="N13" s="1" t="s">
        <v>136</v>
      </c>
      <c r="O13" s="35"/>
    </row>
    <row r="14" spans="1:15">
      <c r="A14" s="34"/>
      <c r="B14" s="35"/>
      <c r="C14" s="35"/>
      <c r="D14" s="8" t="s">
        <v>42</v>
      </c>
      <c r="E14" s="9" t="s">
        <v>762</v>
      </c>
      <c r="F14" s="4" t="str">
        <f>HYPERLINK("https://stat100.ameba.jp/tnk47/ratio20/illustrations/card/ill_56493_2_poppukurisumasuikomakitsuno03.jpg", "■")</f>
        <v>■</v>
      </c>
      <c r="G14" s="1" t="s">
        <v>137</v>
      </c>
      <c r="H14" s="35"/>
      <c r="I14" s="35"/>
      <c r="J14" s="37"/>
      <c r="K14" s="37"/>
      <c r="L14" s="37"/>
      <c r="M14" s="1" t="s">
        <v>138</v>
      </c>
      <c r="N14" s="1" t="s">
        <v>139</v>
      </c>
      <c r="O14" s="35"/>
    </row>
    <row r="15" spans="1:15">
      <c r="A15" s="33">
        <v>42948</v>
      </c>
      <c r="B15" s="35">
        <v>64953</v>
      </c>
      <c r="C15" s="35" t="s">
        <v>103</v>
      </c>
      <c r="D15" s="8" t="s">
        <v>256</v>
      </c>
      <c r="E15" s="9" t="s">
        <v>753</v>
      </c>
      <c r="F15" s="4" t="str">
        <f>HYPERLINK("https://stat100.ameba.jp/tnk47/ratio20/illustrations/card/ill_64953_0_yukatatokugawayoshinobu03.jpg", "■")</f>
        <v>■</v>
      </c>
      <c r="G15" s="1" t="s">
        <v>262</v>
      </c>
      <c r="H15" s="35"/>
      <c r="I15" s="35"/>
      <c r="J15" s="36" t="s">
        <v>900</v>
      </c>
      <c r="K15" s="36" t="s">
        <v>1163</v>
      </c>
      <c r="L15" s="36" t="s">
        <v>1164</v>
      </c>
      <c r="M15" s="1" t="s">
        <v>264</v>
      </c>
      <c r="N15" s="1" t="s">
        <v>265</v>
      </c>
      <c r="O15" s="35" t="s">
        <v>1311</v>
      </c>
    </row>
    <row r="16" spans="1:15">
      <c r="A16" s="34"/>
      <c r="B16" s="35"/>
      <c r="C16" s="35"/>
      <c r="D16" s="8" t="s">
        <v>263</v>
      </c>
      <c r="E16" s="9" t="s">
        <v>758</v>
      </c>
      <c r="F16" s="4" t="str">
        <f>HYPERLINK("https://stat100.ameba.jp/tnk47/ratio20/illustrations/card/ill_64953_1_yukatatokugawayoshinobu03.jpg", "■")</f>
        <v>■</v>
      </c>
      <c r="G16" s="1" t="s">
        <v>266</v>
      </c>
      <c r="H16" s="35"/>
      <c r="I16" s="35"/>
      <c r="J16" s="37"/>
      <c r="K16" s="37"/>
      <c r="L16" s="37"/>
      <c r="M16" s="1" t="s">
        <v>267</v>
      </c>
      <c r="N16" s="1" t="s">
        <v>268</v>
      </c>
      <c r="O16" s="35"/>
    </row>
    <row r="17" spans="1:15">
      <c r="A17" s="34"/>
      <c r="B17" s="35"/>
      <c r="C17" s="35"/>
      <c r="D17" s="8" t="s">
        <v>255</v>
      </c>
      <c r="E17" s="9" t="s">
        <v>763</v>
      </c>
      <c r="F17" s="4" t="str">
        <f>HYPERLINK("https://stat100.ameba.jp/tnk47/ratio20/illustrations/card/ill_64953_2_yukatatokugawayoshinobu03.jpg", "■")</f>
        <v>■</v>
      </c>
      <c r="G17" s="1" t="s">
        <v>269</v>
      </c>
      <c r="H17" s="35"/>
      <c r="I17" s="35"/>
      <c r="J17" s="37"/>
      <c r="K17" s="37"/>
      <c r="L17" s="37"/>
      <c r="M17" s="1" t="s">
        <v>270</v>
      </c>
      <c r="N17" s="1" t="s">
        <v>271</v>
      </c>
      <c r="O17" s="35"/>
    </row>
    <row r="18" spans="1:15">
      <c r="A18" s="33">
        <v>43191</v>
      </c>
      <c r="B18" s="35">
        <v>71403</v>
      </c>
      <c r="C18" s="35" t="s">
        <v>103</v>
      </c>
      <c r="D18" s="8" t="s">
        <v>93</v>
      </c>
      <c r="E18" s="9" t="s">
        <v>754</v>
      </c>
      <c r="F18" s="4" t="str">
        <f>HYPERLINK("https://stat100.ameba.jp/tnk47/ratio20/illustrations/card/ill_71403_0_ohanamisanadayukimura03.jpg", "■")</f>
        <v>■</v>
      </c>
      <c r="G18" s="1" t="s">
        <v>105</v>
      </c>
      <c r="H18" s="35" t="s">
        <v>589</v>
      </c>
      <c r="I18" s="35"/>
      <c r="J18" s="36" t="s">
        <v>820</v>
      </c>
      <c r="K18" s="36" t="s">
        <v>1161</v>
      </c>
      <c r="L18" s="36" t="s">
        <v>1162</v>
      </c>
      <c r="M18" s="1" t="s">
        <v>106</v>
      </c>
      <c r="N18" s="1" t="s">
        <v>107</v>
      </c>
      <c r="O18" s="35" t="s">
        <v>1318</v>
      </c>
    </row>
    <row r="19" spans="1:15">
      <c r="A19" s="34"/>
      <c r="B19" s="35"/>
      <c r="C19" s="35"/>
      <c r="D19" s="8" t="s">
        <v>15</v>
      </c>
      <c r="E19" s="9" t="s">
        <v>759</v>
      </c>
      <c r="F19" s="4" t="str">
        <f>HYPERLINK("https://stat100.ameba.jp/tnk47/ratio20/illustrations/card/ill_71403_1_ohanamisanadayukimura03.jpg", "■")</f>
        <v>■</v>
      </c>
      <c r="G19" s="1" t="s">
        <v>108</v>
      </c>
      <c r="H19" s="35"/>
      <c r="I19" s="35"/>
      <c r="J19" s="37"/>
      <c r="K19" s="37"/>
      <c r="L19" s="37"/>
      <c r="M19" s="1" t="s">
        <v>109</v>
      </c>
      <c r="N19" s="1" t="s">
        <v>110</v>
      </c>
      <c r="O19" s="35"/>
    </row>
    <row r="20" spans="1:15">
      <c r="A20" s="34"/>
      <c r="B20" s="35"/>
      <c r="C20" s="35"/>
      <c r="D20" s="8" t="s">
        <v>8</v>
      </c>
      <c r="E20" s="9" t="s">
        <v>764</v>
      </c>
      <c r="F20" s="4" t="str">
        <f>HYPERLINK("https://stat100.ameba.jp/tnk47/ratio20/illustrations/card/ill_71403_2_ohanamisanadayukimura03.jpg", "■")</f>
        <v>■</v>
      </c>
      <c r="G20" s="1" t="s">
        <v>111</v>
      </c>
      <c r="H20" s="35"/>
      <c r="I20" s="35"/>
      <c r="J20" s="37"/>
      <c r="K20" s="37"/>
      <c r="L20" s="37"/>
      <c r="M20" s="1" t="s">
        <v>112</v>
      </c>
      <c r="N20" s="1" t="s">
        <v>113</v>
      </c>
      <c r="O20" s="35"/>
    </row>
  </sheetData>
  <mergeCells count="54">
    <mergeCell ref="O18:O20"/>
    <mergeCell ref="O3:O5"/>
    <mergeCell ref="O6:O8"/>
    <mergeCell ref="O9:O11"/>
    <mergeCell ref="O12:O14"/>
    <mergeCell ref="O15:O17"/>
    <mergeCell ref="A18:A20"/>
    <mergeCell ref="L18:L20"/>
    <mergeCell ref="A9:A11"/>
    <mergeCell ref="A6:A8"/>
    <mergeCell ref="C6:C8"/>
    <mergeCell ref="J6:J8"/>
    <mergeCell ref="K6:K8"/>
    <mergeCell ref="L6:L8"/>
    <mergeCell ref="A15:A17"/>
    <mergeCell ref="C18:C20"/>
    <mergeCell ref="J18:J20"/>
    <mergeCell ref="K18:K20"/>
    <mergeCell ref="J12:J14"/>
    <mergeCell ref="K12:K14"/>
    <mergeCell ref="L9:L11"/>
    <mergeCell ref="C15:C17"/>
    <mergeCell ref="J15:J17"/>
    <mergeCell ref="K15:K17"/>
    <mergeCell ref="L15:L17"/>
    <mergeCell ref="A3:A5"/>
    <mergeCell ref="C3:C5"/>
    <mergeCell ref="J3:J5"/>
    <mergeCell ref="K3:K5"/>
    <mergeCell ref="L3:L5"/>
    <mergeCell ref="C12:C14"/>
    <mergeCell ref="C9:C11"/>
    <mergeCell ref="J9:J11"/>
    <mergeCell ref="K9:K11"/>
    <mergeCell ref="L12:L14"/>
    <mergeCell ref="A12:A14"/>
    <mergeCell ref="H3:H5"/>
    <mergeCell ref="I3:I5"/>
    <mergeCell ref="B18:B20"/>
    <mergeCell ref="B3:B5"/>
    <mergeCell ref="B6:B8"/>
    <mergeCell ref="B9:B11"/>
    <mergeCell ref="B12:B14"/>
    <mergeCell ref="B15:B17"/>
    <mergeCell ref="H15:H17"/>
    <mergeCell ref="I15:I17"/>
    <mergeCell ref="H18:H20"/>
    <mergeCell ref="I18:I20"/>
    <mergeCell ref="H6:H8"/>
    <mergeCell ref="I6:I8"/>
    <mergeCell ref="H9:H11"/>
    <mergeCell ref="I9:I11"/>
    <mergeCell ref="H12:H14"/>
    <mergeCell ref="I12:I14"/>
  </mergeCells>
  <phoneticPr fontId="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7C24D-D33D-4879-9008-AD971E145ECC}">
  <dimension ref="A1:O20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11" style="1" customWidth="1"/>
    <col min="2" max="2" width="6.4140625" style="1" customWidth="1"/>
    <col min="3" max="3" width="10.9140625" style="1" customWidth="1"/>
    <col min="4" max="4" width="6.75" style="1" customWidth="1"/>
    <col min="5" max="5" width="31.9140625" style="1" customWidth="1"/>
    <col min="6" max="6" width="3.75" style="7" customWidth="1"/>
    <col min="7" max="7" width="25.58203125" style="1" hidden="1" customWidth="1"/>
    <col min="8" max="9" width="17.9140625" style="5" hidden="1" customWidth="1"/>
    <col min="10" max="10" width="5.9140625" style="1" customWidth="1"/>
    <col min="11" max="12" width="8.9140625" style="1" customWidth="1"/>
    <col min="13" max="13" width="16.08203125" style="1" hidden="1" customWidth="1"/>
    <col min="14" max="14" width="72.58203125" style="1" customWidth="1"/>
    <col min="15" max="15" width="14.5" style="26" customWidth="1"/>
    <col min="16" max="16384" width="8.9140625" style="1"/>
  </cols>
  <sheetData>
    <row r="1" spans="1:15">
      <c r="A1" s="2" t="s">
        <v>511</v>
      </c>
      <c r="B1" s="2" t="s">
        <v>495</v>
      </c>
      <c r="C1" s="3" t="s">
        <v>0</v>
      </c>
      <c r="D1" s="2" t="s">
        <v>1</v>
      </c>
      <c r="E1" s="2" t="s">
        <v>2</v>
      </c>
      <c r="F1" s="2" t="s">
        <v>607</v>
      </c>
      <c r="G1" s="2" t="s">
        <v>494</v>
      </c>
      <c r="H1" s="2" t="s">
        <v>584</v>
      </c>
      <c r="I1" s="2" t="s">
        <v>585</v>
      </c>
      <c r="J1" s="2" t="s">
        <v>3</v>
      </c>
      <c r="K1" s="2" t="s">
        <v>243</v>
      </c>
      <c r="L1" s="2" t="s">
        <v>244</v>
      </c>
      <c r="M1" s="2" t="s">
        <v>4</v>
      </c>
      <c r="N1" s="2" t="s">
        <v>613</v>
      </c>
      <c r="O1" s="2" t="s">
        <v>1255</v>
      </c>
    </row>
    <row r="3" spans="1:15">
      <c r="A3" s="33">
        <v>42248</v>
      </c>
      <c r="B3" s="35">
        <v>40963</v>
      </c>
      <c r="C3" s="35" t="s">
        <v>5</v>
      </c>
      <c r="D3" s="8" t="s">
        <v>313</v>
      </c>
      <c r="E3" s="9" t="s">
        <v>765</v>
      </c>
      <c r="F3" s="4" t="str">
        <f>HYPERLINK("https://stat100.ameba.jp/tnk47/ratio20/illustrations/card/ill_40963_0_makami03.jpg", "■")</f>
        <v>■</v>
      </c>
      <c r="G3" s="1" t="s">
        <v>316</v>
      </c>
      <c r="H3" s="35"/>
      <c r="I3" s="35"/>
      <c r="J3" s="36" t="s">
        <v>1147</v>
      </c>
      <c r="K3" s="36" t="s">
        <v>1148</v>
      </c>
      <c r="L3" s="36" t="s">
        <v>1149</v>
      </c>
      <c r="M3" s="1" t="s">
        <v>317</v>
      </c>
      <c r="N3" s="1" t="s">
        <v>318</v>
      </c>
      <c r="O3" s="35"/>
    </row>
    <row r="4" spans="1:15">
      <c r="A4" s="34"/>
      <c r="B4" s="35"/>
      <c r="C4" s="35"/>
      <c r="D4" s="8" t="s">
        <v>314</v>
      </c>
      <c r="E4" s="9" t="s">
        <v>771</v>
      </c>
      <c r="F4" s="4" t="str">
        <f>HYPERLINK("https://stat100.ameba.jp/tnk47/ratio20/illustrations/card/ill_40963_1_makami03.jpg", "■")</f>
        <v>■</v>
      </c>
      <c r="G4" s="1" t="s">
        <v>319</v>
      </c>
      <c r="H4" s="35"/>
      <c r="I4" s="35"/>
      <c r="J4" s="37"/>
      <c r="K4" s="37"/>
      <c r="L4" s="37"/>
      <c r="M4" s="1" t="s">
        <v>320</v>
      </c>
      <c r="N4" s="1" t="s">
        <v>321</v>
      </c>
      <c r="O4" s="35"/>
    </row>
    <row r="5" spans="1:15">
      <c r="A5" s="34"/>
      <c r="B5" s="35"/>
      <c r="C5" s="35"/>
      <c r="D5" s="8" t="s">
        <v>315</v>
      </c>
      <c r="E5" s="9" t="s">
        <v>777</v>
      </c>
      <c r="F5" s="4" t="str">
        <f>HYPERLINK("https://stat100.ameba.jp/tnk47/ratio20/illustrations/card/ill_40963_2_makami03.jpg", "■")</f>
        <v>■</v>
      </c>
      <c r="G5" s="1" t="s">
        <v>322</v>
      </c>
      <c r="H5" s="35"/>
      <c r="I5" s="35"/>
      <c r="J5" s="37"/>
      <c r="K5" s="37"/>
      <c r="L5" s="37"/>
      <c r="M5" s="1" t="s">
        <v>323</v>
      </c>
      <c r="N5" s="1" t="s">
        <v>324</v>
      </c>
      <c r="O5" s="35"/>
    </row>
    <row r="6" spans="1:15">
      <c r="A6" s="33">
        <v>42430</v>
      </c>
      <c r="B6" s="35">
        <v>49193</v>
      </c>
      <c r="C6" s="35" t="s">
        <v>74</v>
      </c>
      <c r="D6" s="8" t="s">
        <v>62</v>
      </c>
      <c r="E6" s="9" t="s">
        <v>766</v>
      </c>
      <c r="F6" s="4" t="str">
        <f>HYPERLINK("https://stat100.ameba.jp/tnk47/ratio20/illustrations/card/ill_49193_0_onmyoudouabenoseimei03.jpg", "■")</f>
        <v>■</v>
      </c>
      <c r="G6" s="1" t="s">
        <v>94</v>
      </c>
      <c r="H6" s="35"/>
      <c r="I6" s="35" t="s">
        <v>593</v>
      </c>
      <c r="J6" s="36" t="s">
        <v>1114</v>
      </c>
      <c r="K6" s="36" t="s">
        <v>1115</v>
      </c>
      <c r="L6" s="36" t="s">
        <v>1116</v>
      </c>
      <c r="M6" s="1" t="s">
        <v>95</v>
      </c>
      <c r="N6" s="1" t="s">
        <v>96</v>
      </c>
      <c r="O6" s="35"/>
    </row>
    <row r="7" spans="1:15">
      <c r="A7" s="34"/>
      <c r="B7" s="35"/>
      <c r="C7" s="35"/>
      <c r="D7" s="8" t="s">
        <v>63</v>
      </c>
      <c r="E7" s="9" t="s">
        <v>772</v>
      </c>
      <c r="F7" s="4" t="str">
        <f>HYPERLINK("https://stat100.ameba.jp/tnk47/ratio20/illustrations/card/ill_49193_1_onmyoudouabenoseimei03.jpg", "■")</f>
        <v>■</v>
      </c>
      <c r="G7" s="1" t="s">
        <v>97</v>
      </c>
      <c r="H7" s="35"/>
      <c r="I7" s="35"/>
      <c r="J7" s="37"/>
      <c r="K7" s="37"/>
      <c r="L7" s="37"/>
      <c r="M7" s="1" t="s">
        <v>101</v>
      </c>
      <c r="N7" s="1" t="s">
        <v>102</v>
      </c>
      <c r="O7" s="35"/>
    </row>
    <row r="8" spans="1:15">
      <c r="A8" s="34"/>
      <c r="B8" s="35"/>
      <c r="C8" s="35"/>
      <c r="D8" s="8" t="s">
        <v>93</v>
      </c>
      <c r="E8" s="9" t="s">
        <v>778</v>
      </c>
      <c r="F8" s="4" t="str">
        <f>HYPERLINK("https://stat100.ameba.jp/tnk47/ratio20/illustrations/card/ill_49193_2_onmyoudouabenoseimei03.jpg", "■")</f>
        <v>■</v>
      </c>
      <c r="G8" s="1" t="s">
        <v>98</v>
      </c>
      <c r="H8" s="35"/>
      <c r="I8" s="35"/>
      <c r="J8" s="37"/>
      <c r="K8" s="37"/>
      <c r="L8" s="37"/>
      <c r="M8" s="1" t="s">
        <v>99</v>
      </c>
      <c r="N8" s="1" t="s">
        <v>100</v>
      </c>
      <c r="O8" s="35"/>
    </row>
    <row r="9" spans="1:15">
      <c r="A9" s="33">
        <v>42614</v>
      </c>
      <c r="B9" s="35">
        <v>54523</v>
      </c>
      <c r="C9" s="35" t="s">
        <v>5</v>
      </c>
      <c r="D9" s="8" t="s">
        <v>31</v>
      </c>
      <c r="E9" s="9" t="s">
        <v>767</v>
      </c>
      <c r="F9" s="4" t="str">
        <f>HYPERLINK("https://stat100.ameba.jp/tnk47/ratio20/illustrations/card/ill_54523_0_yonshunennionohime03.jpg", "■")</f>
        <v>■</v>
      </c>
      <c r="G9" s="1" t="s">
        <v>75</v>
      </c>
      <c r="H9" s="35" t="s">
        <v>879</v>
      </c>
      <c r="I9" s="35"/>
      <c r="J9" s="36" t="s">
        <v>482</v>
      </c>
      <c r="K9" s="36" t="s">
        <v>569</v>
      </c>
      <c r="L9" s="36" t="s">
        <v>483</v>
      </c>
      <c r="M9" s="1" t="s">
        <v>76</v>
      </c>
      <c r="N9" s="1" t="s">
        <v>77</v>
      </c>
      <c r="O9" s="35" t="s">
        <v>1300</v>
      </c>
    </row>
    <row r="10" spans="1:15">
      <c r="A10" s="34"/>
      <c r="B10" s="35"/>
      <c r="C10" s="35"/>
      <c r="D10" s="8" t="s">
        <v>62</v>
      </c>
      <c r="E10" s="9" t="s">
        <v>773</v>
      </c>
      <c r="F10" s="4" t="str">
        <f>HYPERLINK("https://stat100.ameba.jp/tnk47/ratio20/illustrations/card/ill_54523_1_yonshunennionohime03.jpg", "■")</f>
        <v>■</v>
      </c>
      <c r="G10" s="1" t="s">
        <v>78</v>
      </c>
      <c r="H10" s="35"/>
      <c r="I10" s="35"/>
      <c r="J10" s="37"/>
      <c r="K10" s="37"/>
      <c r="L10" s="37"/>
      <c r="M10" s="1" t="s">
        <v>79</v>
      </c>
      <c r="N10" s="1" t="s">
        <v>80</v>
      </c>
      <c r="O10" s="35"/>
    </row>
    <row r="11" spans="1:15">
      <c r="A11" s="34"/>
      <c r="B11" s="35"/>
      <c r="C11" s="35"/>
      <c r="D11" s="8" t="s">
        <v>73</v>
      </c>
      <c r="E11" s="9" t="s">
        <v>779</v>
      </c>
      <c r="F11" s="4" t="str">
        <f>HYPERLINK("https://stat100.ameba.jp/tnk47/ratio20/illustrations/card/ill_54523_2_yonshunennionohime03.jpg", "■")</f>
        <v>■</v>
      </c>
      <c r="G11" s="1" t="s">
        <v>81</v>
      </c>
      <c r="H11" s="35"/>
      <c r="I11" s="35"/>
      <c r="J11" s="37"/>
      <c r="K11" s="37"/>
      <c r="L11" s="37"/>
      <c r="M11" s="1" t="s">
        <v>82</v>
      </c>
      <c r="N11" s="1" t="s">
        <v>83</v>
      </c>
      <c r="O11" s="35"/>
    </row>
    <row r="12" spans="1:15">
      <c r="A12" s="33">
        <v>42795</v>
      </c>
      <c r="B12" s="35">
        <v>59673</v>
      </c>
      <c r="C12" s="35" t="s">
        <v>5</v>
      </c>
      <c r="D12" s="8" t="s">
        <v>8</v>
      </c>
      <c r="E12" s="9" t="s">
        <v>768</v>
      </c>
      <c r="F12" s="4" t="str">
        <f>HYPERLINK("https://stat100.ameba.jp/tnk47/ratio20/illustrations/card/ill_59673_0_oheyashutendoji03.jpg", "■")</f>
        <v>■</v>
      </c>
      <c r="G12" s="1" t="s">
        <v>6</v>
      </c>
      <c r="H12" s="35" t="s">
        <v>594</v>
      </c>
      <c r="I12" s="35"/>
      <c r="J12" s="36" t="s">
        <v>896</v>
      </c>
      <c r="K12" s="36" t="s">
        <v>968</v>
      </c>
      <c r="L12" s="36" t="s">
        <v>967</v>
      </c>
      <c r="M12" s="1" t="s">
        <v>7</v>
      </c>
      <c r="N12" s="1" t="s">
        <v>542</v>
      </c>
      <c r="O12" s="35" t="s">
        <v>1306</v>
      </c>
    </row>
    <row r="13" spans="1:15">
      <c r="A13" s="34"/>
      <c r="B13" s="35"/>
      <c r="C13" s="35"/>
      <c r="D13" s="8" t="s">
        <v>10</v>
      </c>
      <c r="E13" s="9" t="s">
        <v>774</v>
      </c>
      <c r="F13" s="4" t="str">
        <f>HYPERLINK("https://stat100.ameba.jp/tnk47/ratio20/illustrations/card/ill_59673_1_oheyashutendoji03.jpg", "■")</f>
        <v>■</v>
      </c>
      <c r="G13" s="1" t="s">
        <v>11</v>
      </c>
      <c r="H13" s="35"/>
      <c r="I13" s="35"/>
      <c r="J13" s="37"/>
      <c r="K13" s="37"/>
      <c r="L13" s="37"/>
      <c r="M13" s="1" t="s">
        <v>12</v>
      </c>
      <c r="N13" s="1" t="s">
        <v>543</v>
      </c>
      <c r="O13" s="35"/>
    </row>
    <row r="14" spans="1:15">
      <c r="A14" s="34"/>
      <c r="B14" s="35"/>
      <c r="C14" s="35"/>
      <c r="D14" s="8" t="s">
        <v>9</v>
      </c>
      <c r="E14" s="9" t="s">
        <v>780</v>
      </c>
      <c r="F14" s="4" t="str">
        <f>HYPERLINK("https://stat100.ameba.jp/tnk47/ratio20/illustrations/card/ill_59673_2_oheyashutendoji03.jpg", "■")</f>
        <v>■</v>
      </c>
      <c r="G14" s="1" t="s">
        <v>13</v>
      </c>
      <c r="H14" s="35"/>
      <c r="I14" s="35"/>
      <c r="J14" s="37"/>
      <c r="K14" s="37"/>
      <c r="L14" s="37"/>
      <c r="M14" s="1" t="s">
        <v>14</v>
      </c>
      <c r="N14" s="1" t="s">
        <v>544</v>
      </c>
      <c r="O14" s="35"/>
    </row>
    <row r="15" spans="1:15">
      <c r="A15" s="33">
        <v>42979</v>
      </c>
      <c r="B15" s="35">
        <v>65713</v>
      </c>
      <c r="C15" s="35" t="s">
        <v>5</v>
      </c>
      <c r="D15" s="8" t="s">
        <v>8</v>
      </c>
      <c r="E15" s="9" t="s">
        <v>769</v>
      </c>
      <c r="F15" s="4" t="str">
        <f>HYPERLINK("https://stat100.ameba.jp/tnk47/ratio20/illustrations/card/ill_65713_0_undokaionikirimaru03.jpg", "■")</f>
        <v>■</v>
      </c>
      <c r="G15" s="1" t="s">
        <v>16</v>
      </c>
      <c r="H15" s="35"/>
      <c r="I15" s="35" t="s">
        <v>595</v>
      </c>
      <c r="J15" s="36" t="s">
        <v>1117</v>
      </c>
      <c r="K15" s="36" t="s">
        <v>1118</v>
      </c>
      <c r="L15" s="36" t="s">
        <v>1119</v>
      </c>
      <c r="M15" s="1" t="s">
        <v>17</v>
      </c>
      <c r="N15" s="1" t="s">
        <v>545</v>
      </c>
      <c r="O15" s="35" t="s">
        <v>1312</v>
      </c>
    </row>
    <row r="16" spans="1:15">
      <c r="A16" s="34"/>
      <c r="B16" s="35"/>
      <c r="C16" s="35"/>
      <c r="D16" s="8" t="s">
        <v>15</v>
      </c>
      <c r="E16" s="9" t="s">
        <v>775</v>
      </c>
      <c r="F16" s="4" t="str">
        <f>HYPERLINK("https://stat100.ameba.jp/tnk47/ratio20/illustrations/card/ill_65713_1_undokaionikirimaru03.jpg", "■")</f>
        <v>■</v>
      </c>
      <c r="G16" s="1" t="s">
        <v>18</v>
      </c>
      <c r="H16" s="35"/>
      <c r="I16" s="35"/>
      <c r="J16" s="37"/>
      <c r="K16" s="37"/>
      <c r="L16" s="37"/>
      <c r="M16" s="1" t="s">
        <v>19</v>
      </c>
      <c r="N16" s="1" t="s">
        <v>546</v>
      </c>
      <c r="O16" s="35"/>
    </row>
    <row r="17" spans="1:15">
      <c r="A17" s="34"/>
      <c r="B17" s="35"/>
      <c r="C17" s="35"/>
      <c r="D17" s="8" t="s">
        <v>10</v>
      </c>
      <c r="E17" s="9" t="s">
        <v>781</v>
      </c>
      <c r="F17" s="4" t="str">
        <f>HYPERLINK("https://stat100.ameba.jp/tnk47/ratio20/illustrations/card/ill_65713_2_undokaionikirimaru03.jpg", "■")</f>
        <v>■</v>
      </c>
      <c r="G17" s="1" t="s">
        <v>20</v>
      </c>
      <c r="H17" s="35"/>
      <c r="I17" s="35"/>
      <c r="J17" s="37"/>
      <c r="K17" s="37"/>
      <c r="L17" s="37"/>
      <c r="M17" s="1" t="s">
        <v>21</v>
      </c>
      <c r="N17" s="1" t="s">
        <v>547</v>
      </c>
      <c r="O17" s="35"/>
    </row>
    <row r="18" spans="1:15">
      <c r="A18" s="33">
        <v>43160</v>
      </c>
      <c r="B18" s="35">
        <v>70453</v>
      </c>
      <c r="C18" s="35" t="s">
        <v>5</v>
      </c>
      <c r="D18" s="8" t="s">
        <v>425</v>
      </c>
      <c r="E18" s="9" t="s">
        <v>770</v>
      </c>
      <c r="F18" s="4" t="str">
        <f>HYPERLINK("https://stat100.ameba.jp/tnk47/ratio20/illustrations/card/ill_70453_0_momonosekkumurasakishikibu03.jpg", "■")</f>
        <v>■</v>
      </c>
      <c r="G18" s="1" t="s">
        <v>493</v>
      </c>
      <c r="H18" s="35"/>
      <c r="I18" s="35"/>
      <c r="J18" s="36">
        <v>18</v>
      </c>
      <c r="K18" s="36">
        <v>114700</v>
      </c>
      <c r="L18" s="36">
        <v>106638</v>
      </c>
      <c r="M18" s="1" t="s">
        <v>574</v>
      </c>
      <c r="N18" s="1" t="s">
        <v>548</v>
      </c>
      <c r="O18" s="35" t="s">
        <v>1317</v>
      </c>
    </row>
    <row r="19" spans="1:15">
      <c r="A19" s="34"/>
      <c r="B19" s="35"/>
      <c r="C19" s="35"/>
      <c r="D19" s="8" t="s">
        <v>426</v>
      </c>
      <c r="E19" s="9" t="s">
        <v>776</v>
      </c>
      <c r="F19" s="4" t="str">
        <f>HYPERLINK("https://stat100.ameba.jp/tnk47/ratio20/illustrations/card/ill_70453_1_momonosekkumurasakishikibu03.jpg", "■")</f>
        <v>■</v>
      </c>
      <c r="G19" s="1" t="s">
        <v>522</v>
      </c>
      <c r="H19" s="35"/>
      <c r="I19" s="35"/>
      <c r="J19" s="37"/>
      <c r="K19" s="37"/>
      <c r="L19" s="37"/>
      <c r="M19" s="1" t="s">
        <v>521</v>
      </c>
      <c r="N19" s="1" t="s">
        <v>401</v>
      </c>
      <c r="O19" s="35"/>
    </row>
    <row r="20" spans="1:15">
      <c r="A20" s="34"/>
      <c r="B20" s="35"/>
      <c r="C20" s="35"/>
      <c r="D20" s="8" t="s">
        <v>427</v>
      </c>
      <c r="E20" s="9" t="s">
        <v>782</v>
      </c>
      <c r="F20" s="4" t="str">
        <f>HYPERLINK("https://stat100.ameba.jp/tnk47/ratio20/illustrations/card/ill_70453_2_momonosekkumurasakishikibu03.jpg", "■")</f>
        <v>■</v>
      </c>
      <c r="G20" s="1" t="s">
        <v>540</v>
      </c>
      <c r="H20" s="35"/>
      <c r="I20" s="35"/>
      <c r="J20" s="37"/>
      <c r="K20" s="37"/>
      <c r="L20" s="37"/>
      <c r="M20" s="1" t="s">
        <v>541</v>
      </c>
      <c r="N20" s="1" t="s">
        <v>549</v>
      </c>
      <c r="O20" s="35"/>
    </row>
  </sheetData>
  <mergeCells count="54">
    <mergeCell ref="O18:O20"/>
    <mergeCell ref="O3:O5"/>
    <mergeCell ref="O6:O8"/>
    <mergeCell ref="O9:O11"/>
    <mergeCell ref="O12:O14"/>
    <mergeCell ref="O15:O17"/>
    <mergeCell ref="A15:A17"/>
    <mergeCell ref="A12:A14"/>
    <mergeCell ref="C12:C14"/>
    <mergeCell ref="J12:J14"/>
    <mergeCell ref="C15:C17"/>
    <mergeCell ref="J15:J17"/>
    <mergeCell ref="H12:H14"/>
    <mergeCell ref="I12:I14"/>
    <mergeCell ref="H15:H17"/>
    <mergeCell ref="I15:I17"/>
    <mergeCell ref="A6:A8"/>
    <mergeCell ref="C9:C11"/>
    <mergeCell ref="J9:J11"/>
    <mergeCell ref="K9:K11"/>
    <mergeCell ref="L9:L11"/>
    <mergeCell ref="K6:K8"/>
    <mergeCell ref="L6:L8"/>
    <mergeCell ref="K18:K20"/>
    <mergeCell ref="L18:L20"/>
    <mergeCell ref="B18:B20"/>
    <mergeCell ref="B3:B5"/>
    <mergeCell ref="B6:B8"/>
    <mergeCell ref="B9:B11"/>
    <mergeCell ref="B12:B14"/>
    <mergeCell ref="B15:B17"/>
    <mergeCell ref="K15:K17"/>
    <mergeCell ref="L15:L17"/>
    <mergeCell ref="J3:J5"/>
    <mergeCell ref="K3:K5"/>
    <mergeCell ref="L3:L5"/>
    <mergeCell ref="K12:K14"/>
    <mergeCell ref="L12:L14"/>
    <mergeCell ref="A3:A5"/>
    <mergeCell ref="C3:C5"/>
    <mergeCell ref="A18:A20"/>
    <mergeCell ref="C18:C20"/>
    <mergeCell ref="J18:J20"/>
    <mergeCell ref="A9:A11"/>
    <mergeCell ref="C6:C8"/>
    <mergeCell ref="J6:J8"/>
    <mergeCell ref="H18:H20"/>
    <mergeCell ref="I18:I20"/>
    <mergeCell ref="H3:H5"/>
    <mergeCell ref="I3:I5"/>
    <mergeCell ref="H6:H8"/>
    <mergeCell ref="I6:I8"/>
    <mergeCell ref="H9:H11"/>
    <mergeCell ref="I9:I11"/>
  </mergeCells>
  <phoneticPr fontId="7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96E4-1D84-4E16-9EFE-00742E0139DA}">
  <dimension ref="A1:O2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11" style="1" customWidth="1"/>
    <col min="2" max="2" width="6.4140625" style="1" customWidth="1"/>
    <col min="3" max="3" width="10.9140625" style="1" customWidth="1"/>
    <col min="4" max="4" width="6.75" style="1" customWidth="1"/>
    <col min="5" max="5" width="31.9140625" style="1" customWidth="1"/>
    <col min="6" max="6" width="3.75" style="7" customWidth="1"/>
    <col min="7" max="7" width="25.58203125" style="1" hidden="1" customWidth="1"/>
    <col min="8" max="9" width="17.9140625" style="5" hidden="1" customWidth="1"/>
    <col min="10" max="10" width="5.9140625" style="1" customWidth="1"/>
    <col min="11" max="12" width="8.9140625" style="1" customWidth="1"/>
    <col min="13" max="13" width="16.08203125" style="1" hidden="1" customWidth="1"/>
    <col min="14" max="14" width="72.5" style="1" customWidth="1"/>
    <col min="15" max="15" width="14.5" style="26" customWidth="1"/>
    <col min="16" max="16384" width="8.9140625" style="1"/>
  </cols>
  <sheetData>
    <row r="1" spans="1:15">
      <c r="A1" s="2" t="s">
        <v>511</v>
      </c>
      <c r="B1" s="2" t="s">
        <v>495</v>
      </c>
      <c r="C1" s="3" t="s">
        <v>0</v>
      </c>
      <c r="D1" s="2" t="s">
        <v>1</v>
      </c>
      <c r="E1" s="2" t="s">
        <v>2</v>
      </c>
      <c r="F1" s="2" t="s">
        <v>607</v>
      </c>
      <c r="G1" s="2" t="s">
        <v>494</v>
      </c>
      <c r="H1" s="2" t="s">
        <v>584</v>
      </c>
      <c r="I1" s="2" t="s">
        <v>585</v>
      </c>
      <c r="J1" s="2" t="s">
        <v>3</v>
      </c>
      <c r="K1" s="2" t="s">
        <v>243</v>
      </c>
      <c r="L1" s="2" t="s">
        <v>244</v>
      </c>
      <c r="M1" s="2" t="s">
        <v>4</v>
      </c>
      <c r="N1" s="2" t="s">
        <v>613</v>
      </c>
      <c r="O1" s="2" t="s">
        <v>1255</v>
      </c>
    </row>
    <row r="3" spans="1:15">
      <c r="A3" s="33">
        <v>42309</v>
      </c>
      <c r="B3" s="35">
        <v>44283</v>
      </c>
      <c r="C3" s="35" t="s">
        <v>104</v>
      </c>
      <c r="D3" s="8" t="s">
        <v>140</v>
      </c>
      <c r="E3" s="9" t="s">
        <v>783</v>
      </c>
      <c r="F3" s="4" t="str">
        <f>HYPERLINK("https://stat100.ameba.jp/tnk47/ratio20/illustrations/card/ill_44283_0_izumonokuni03.jpg", "■")</f>
        <v>■</v>
      </c>
      <c r="G3" s="1" t="s">
        <v>150</v>
      </c>
      <c r="H3" s="35"/>
      <c r="I3" s="35"/>
      <c r="J3" s="36" t="s">
        <v>1167</v>
      </c>
      <c r="K3" s="36" t="s">
        <v>1168</v>
      </c>
      <c r="L3" s="36" t="s">
        <v>1169</v>
      </c>
      <c r="M3" s="1" t="s">
        <v>151</v>
      </c>
      <c r="N3" s="1" t="s">
        <v>152</v>
      </c>
      <c r="O3" s="35"/>
    </row>
    <row r="4" spans="1:15">
      <c r="A4" s="34"/>
      <c r="B4" s="35"/>
      <c r="C4" s="35"/>
      <c r="D4" s="8" t="s">
        <v>8</v>
      </c>
      <c r="E4" s="9" t="s">
        <v>790</v>
      </c>
      <c r="F4" s="4" t="str">
        <f>HYPERLINK("https://stat100.ameba.jp/tnk47/ratio20/illustrations/card/ill_44283_1_izumonokuni03.jpg", "■")</f>
        <v>■</v>
      </c>
      <c r="G4" s="1" t="s">
        <v>153</v>
      </c>
      <c r="H4" s="35"/>
      <c r="I4" s="35"/>
      <c r="J4" s="37"/>
      <c r="K4" s="37"/>
      <c r="L4" s="37"/>
      <c r="M4" s="1" t="s">
        <v>154</v>
      </c>
      <c r="N4" s="1" t="s">
        <v>155</v>
      </c>
      <c r="O4" s="35"/>
    </row>
    <row r="5" spans="1:15">
      <c r="A5" s="34"/>
      <c r="B5" s="35"/>
      <c r="C5" s="35"/>
      <c r="D5" s="8" t="s">
        <v>31</v>
      </c>
      <c r="E5" s="9" t="s">
        <v>798</v>
      </c>
      <c r="F5" s="4" t="str">
        <f>HYPERLINK("https://stat100.ameba.jp/tnk47/ratio20/illustrations/card/ill_44283_2_izumonokuni03.jpg", "■")</f>
        <v>■</v>
      </c>
      <c r="G5" s="1" t="s">
        <v>156</v>
      </c>
      <c r="H5" s="35"/>
      <c r="I5" s="35"/>
      <c r="J5" s="37"/>
      <c r="K5" s="37"/>
      <c r="L5" s="37"/>
      <c r="M5" s="1" t="s">
        <v>157</v>
      </c>
      <c r="N5" s="1" t="s">
        <v>158</v>
      </c>
      <c r="O5" s="35"/>
    </row>
    <row r="6" spans="1:15">
      <c r="A6" s="33">
        <v>42491</v>
      </c>
      <c r="B6" s="35">
        <v>50693</v>
      </c>
      <c r="C6" s="35" t="s">
        <v>104</v>
      </c>
      <c r="D6" s="8" t="s">
        <v>272</v>
      </c>
      <c r="E6" s="9" t="s">
        <v>784</v>
      </c>
      <c r="F6" s="4" t="str">
        <f>HYPERLINK("https://stat100.ameba.jp/tnk47/ratio20/illustrations/card/ill_50693_0_hanamizugimimuratsuru03.jpg", "■")</f>
        <v>■</v>
      </c>
      <c r="G6" s="1" t="s">
        <v>328</v>
      </c>
      <c r="H6" s="35"/>
      <c r="I6" s="35"/>
      <c r="J6" s="36" t="s">
        <v>1072</v>
      </c>
      <c r="K6" s="36" t="s">
        <v>1073</v>
      </c>
      <c r="L6" s="36" t="s">
        <v>1074</v>
      </c>
      <c r="M6" s="1" t="s">
        <v>329</v>
      </c>
      <c r="N6" s="1" t="s">
        <v>330</v>
      </c>
      <c r="O6" s="35"/>
    </row>
    <row r="7" spans="1:15">
      <c r="A7" s="34"/>
      <c r="B7" s="35"/>
      <c r="C7" s="35"/>
      <c r="D7" s="8" t="s">
        <v>273</v>
      </c>
      <c r="E7" s="9" t="s">
        <v>791</v>
      </c>
      <c r="F7" s="4" t="str">
        <f>HYPERLINK("https://stat100.ameba.jp/tnk47/ratio20/illustrations/card/ill_50693_1_hanamizugimimuratsuru03.jpg", "■")</f>
        <v>■</v>
      </c>
      <c r="G7" s="1" t="s">
        <v>331</v>
      </c>
      <c r="H7" s="35"/>
      <c r="I7" s="35"/>
      <c r="J7" s="37"/>
      <c r="K7" s="37"/>
      <c r="L7" s="37"/>
      <c r="M7" s="1" t="s">
        <v>332</v>
      </c>
      <c r="N7" s="1" t="s">
        <v>333</v>
      </c>
      <c r="O7" s="35"/>
    </row>
    <row r="8" spans="1:15">
      <c r="A8" s="34"/>
      <c r="B8" s="35"/>
      <c r="C8" s="35"/>
      <c r="D8" s="8" t="s">
        <v>274</v>
      </c>
      <c r="E8" s="9" t="s">
        <v>792</v>
      </c>
      <c r="F8" s="4" t="str">
        <f>HYPERLINK("https://stat100.ameba.jp/tnk47/ratio20/illustrations/card/ill_50693_2_hanamizugimimuratsuru03.jpg", "■")</f>
        <v>■</v>
      </c>
      <c r="G8" s="1" t="s">
        <v>334</v>
      </c>
      <c r="H8" s="35"/>
      <c r="I8" s="35"/>
      <c r="J8" s="37"/>
      <c r="K8" s="37"/>
      <c r="L8" s="37"/>
      <c r="M8" s="1" t="s">
        <v>335</v>
      </c>
      <c r="N8" s="1" t="s">
        <v>336</v>
      </c>
      <c r="O8" s="35"/>
    </row>
    <row r="9" spans="1:15">
      <c r="A9" s="33">
        <v>42675</v>
      </c>
      <c r="B9" s="35">
        <v>56223</v>
      </c>
      <c r="C9" s="35" t="s">
        <v>104</v>
      </c>
      <c r="D9" s="8" t="s">
        <v>23</v>
      </c>
      <c r="E9" s="9" t="s">
        <v>785</v>
      </c>
      <c r="F9" s="4" t="str">
        <f>HYPERLINK("https://stat100.ameba.jp/tnk47/ratio20/illustrations/card/ill_56223_0_onsempanikkugohime03.jpg", "■")</f>
        <v>■</v>
      </c>
      <c r="G9" s="1" t="s">
        <v>115</v>
      </c>
      <c r="H9" s="35"/>
      <c r="I9" s="35"/>
      <c r="J9" s="36" t="s">
        <v>1153</v>
      </c>
      <c r="K9" s="36" t="s">
        <v>1154</v>
      </c>
      <c r="L9" s="36" t="s">
        <v>1155</v>
      </c>
      <c r="M9" s="1" t="s">
        <v>116</v>
      </c>
      <c r="N9" s="1" t="s">
        <v>117</v>
      </c>
      <c r="O9" s="35" t="s">
        <v>1302</v>
      </c>
    </row>
    <row r="10" spans="1:15">
      <c r="A10" s="34"/>
      <c r="B10" s="35"/>
      <c r="C10" s="35"/>
      <c r="D10" s="8" t="s">
        <v>15</v>
      </c>
      <c r="E10" s="9" t="s">
        <v>793</v>
      </c>
      <c r="F10" s="4" t="str">
        <f>HYPERLINK("https://stat100.ameba.jp/tnk47/ratio20/illustrations/card/ill_56223_1_onsempanikkugohime03.jpg", "■")</f>
        <v>■</v>
      </c>
      <c r="G10" s="1" t="s">
        <v>118</v>
      </c>
      <c r="H10" s="35"/>
      <c r="I10" s="35"/>
      <c r="J10" s="37"/>
      <c r="K10" s="37"/>
      <c r="L10" s="37"/>
      <c r="M10" s="1" t="s">
        <v>119</v>
      </c>
      <c r="N10" s="1" t="s">
        <v>102</v>
      </c>
      <c r="O10" s="35"/>
    </row>
    <row r="11" spans="1:15">
      <c r="A11" s="34"/>
      <c r="B11" s="35"/>
      <c r="C11" s="35"/>
      <c r="D11" s="8" t="s">
        <v>114</v>
      </c>
      <c r="E11" s="9" t="s">
        <v>799</v>
      </c>
      <c r="F11" s="4" t="str">
        <f>HYPERLINK("https://stat100.ameba.jp/tnk47/ratio20/illustrations/card/ill_56223_2_onsempanikkugohime03.jpg", "■")</f>
        <v>■</v>
      </c>
      <c r="G11" s="1" t="s">
        <v>120</v>
      </c>
      <c r="H11" s="35"/>
      <c r="I11" s="35"/>
      <c r="J11" s="37"/>
      <c r="K11" s="37"/>
      <c r="L11" s="37"/>
      <c r="M11" s="1" t="s">
        <v>121</v>
      </c>
      <c r="N11" s="1" t="s">
        <v>96</v>
      </c>
      <c r="O11" s="35"/>
    </row>
    <row r="12" spans="1:15">
      <c r="A12" s="33">
        <v>42856</v>
      </c>
      <c r="B12" s="35">
        <v>61893</v>
      </c>
      <c r="C12" s="35" t="s">
        <v>104</v>
      </c>
      <c r="D12" s="8" t="s">
        <v>294</v>
      </c>
      <c r="E12" s="9" t="s">
        <v>786</v>
      </c>
      <c r="F12" s="4" t="str">
        <f>HYPERLINK("https://stat100.ameba.jp/tnk47/ratio20/illustrations/card/ill_61893_0_onikirishumiyamotomusashi03.jpg", "■")</f>
        <v>■</v>
      </c>
      <c r="G12" s="1" t="s">
        <v>293</v>
      </c>
      <c r="H12" s="35" t="s">
        <v>589</v>
      </c>
      <c r="I12" s="35"/>
      <c r="J12" s="36" t="s">
        <v>964</v>
      </c>
      <c r="K12" s="36" t="s">
        <v>965</v>
      </c>
      <c r="L12" s="36" t="s">
        <v>966</v>
      </c>
      <c r="M12" s="1" t="s">
        <v>297</v>
      </c>
      <c r="N12" s="1" t="s">
        <v>107</v>
      </c>
      <c r="O12" s="35" t="s">
        <v>1308</v>
      </c>
    </row>
    <row r="13" spans="1:15">
      <c r="A13" s="34"/>
      <c r="B13" s="35"/>
      <c r="C13" s="35"/>
      <c r="D13" s="8" t="s">
        <v>295</v>
      </c>
      <c r="E13" s="9" t="s">
        <v>794</v>
      </c>
      <c r="F13" s="4" t="str">
        <f>HYPERLINK("https://stat100.ameba.jp/tnk47/ratio20/illustrations/card/ill_61893_1_onikirishumiyamotomusashi03.jpg", "■")</f>
        <v>■</v>
      </c>
      <c r="G13" s="1" t="s">
        <v>298</v>
      </c>
      <c r="H13" s="35"/>
      <c r="I13" s="35"/>
      <c r="J13" s="37"/>
      <c r="K13" s="37"/>
      <c r="L13" s="37"/>
      <c r="M13" s="1" t="s">
        <v>299</v>
      </c>
      <c r="N13" s="1" t="s">
        <v>300</v>
      </c>
      <c r="O13" s="35"/>
    </row>
    <row r="14" spans="1:15">
      <c r="A14" s="34"/>
      <c r="B14" s="35"/>
      <c r="C14" s="35"/>
      <c r="D14" s="8" t="s">
        <v>296</v>
      </c>
      <c r="E14" s="9" t="s">
        <v>800</v>
      </c>
      <c r="F14" s="4" t="str">
        <f>HYPERLINK("https://stat100.ameba.jp/tnk47/ratio20/illustrations/card/ill_61893_2_onikirishumiyamotomusashi03.jpg", "■")</f>
        <v>■</v>
      </c>
      <c r="G14" s="1" t="s">
        <v>301</v>
      </c>
      <c r="H14" s="35"/>
      <c r="I14" s="35"/>
      <c r="J14" s="37"/>
      <c r="K14" s="37"/>
      <c r="L14" s="37"/>
      <c r="M14" s="1" t="s">
        <v>302</v>
      </c>
      <c r="N14" s="1" t="s">
        <v>113</v>
      </c>
      <c r="O14" s="35"/>
    </row>
    <row r="15" spans="1:15">
      <c r="A15" s="33">
        <v>42917</v>
      </c>
      <c r="B15" s="35">
        <v>63913</v>
      </c>
      <c r="C15" s="35" t="s">
        <v>104</v>
      </c>
      <c r="D15" s="8" t="s">
        <v>188</v>
      </c>
      <c r="E15" s="9" t="s">
        <v>787</v>
      </c>
      <c r="F15" s="4" t="str">
        <f>HYPERLINK("https://stat100.ameba.jp/tnk47/ratio20/illustrations/card/ill_63913_0_daikokaijidaiichikishimahime03.jpg", "■")</f>
        <v>■</v>
      </c>
      <c r="G15" s="1" t="s">
        <v>245</v>
      </c>
      <c r="H15" s="35"/>
      <c r="I15" s="35"/>
      <c r="J15" s="37">
        <v>17</v>
      </c>
      <c r="K15" s="37">
        <v>116268</v>
      </c>
      <c r="L15" s="37">
        <v>108087</v>
      </c>
      <c r="M15" s="1" t="s">
        <v>471</v>
      </c>
      <c r="N15" s="1" t="s">
        <v>472</v>
      </c>
      <c r="O15" s="35" t="s">
        <v>1310</v>
      </c>
    </row>
    <row r="16" spans="1:15">
      <c r="A16" s="34"/>
      <c r="B16" s="35"/>
      <c r="C16" s="35"/>
      <c r="D16" s="8" t="s">
        <v>160</v>
      </c>
      <c r="E16" s="9" t="s">
        <v>795</v>
      </c>
      <c r="F16" s="4" t="str">
        <f>HYPERLINK("https://stat100.ameba.jp/tnk47/ratio20/illustrations/card/ill_63913_1_daikokaijidaiichikishimahime03.jpg", "■")</f>
        <v>■</v>
      </c>
      <c r="G16" s="1" t="s">
        <v>246</v>
      </c>
      <c r="H16" s="35"/>
      <c r="I16" s="35"/>
      <c r="J16" s="37"/>
      <c r="K16" s="37"/>
      <c r="L16" s="37"/>
      <c r="M16" s="1" t="s">
        <v>570</v>
      </c>
      <c r="N16" s="1" t="s">
        <v>573</v>
      </c>
      <c r="O16" s="35"/>
    </row>
    <row r="17" spans="1:15">
      <c r="A17" s="34"/>
      <c r="B17" s="35"/>
      <c r="C17" s="35"/>
      <c r="D17" s="8" t="s">
        <v>185</v>
      </c>
      <c r="E17" s="9" t="s">
        <v>801</v>
      </c>
      <c r="F17" s="4" t="str">
        <f>HYPERLINK("https://stat100.ameba.jp/tnk47/ratio20/illustrations/card/ill_63913_2_daikokaijidaiichikishimahime03.jpg", "■")</f>
        <v>■</v>
      </c>
      <c r="G17" s="1" t="s">
        <v>550</v>
      </c>
      <c r="H17" s="35"/>
      <c r="I17" s="35"/>
      <c r="J17" s="37"/>
      <c r="K17" s="37"/>
      <c r="L17" s="37"/>
      <c r="M17" s="1" t="s">
        <v>571</v>
      </c>
      <c r="N17" s="1" t="s">
        <v>572</v>
      </c>
      <c r="O17" s="35"/>
    </row>
    <row r="18" spans="1:15">
      <c r="A18" s="33">
        <v>43101</v>
      </c>
      <c r="B18" s="35">
        <v>68783</v>
      </c>
      <c r="C18" s="35" t="s">
        <v>104</v>
      </c>
      <c r="D18" s="8" t="s">
        <v>255</v>
      </c>
      <c r="E18" s="9" t="s">
        <v>788</v>
      </c>
      <c r="F18" s="4" t="str">
        <f>HYPERLINK("https://stat100.ameba.jp/tnk47/ratio20/illustrations/card/ill_68783_0_gantammomotaro03.jpg", "■")</f>
        <v>■</v>
      </c>
      <c r="G18" s="1" t="s">
        <v>914</v>
      </c>
      <c r="H18" s="35"/>
      <c r="I18" s="35"/>
      <c r="J18" s="36" t="s">
        <v>900</v>
      </c>
      <c r="K18" s="36" t="s">
        <v>986</v>
      </c>
      <c r="L18" s="36" t="s">
        <v>987</v>
      </c>
      <c r="M18" s="1" t="s">
        <v>258</v>
      </c>
      <c r="N18" s="1" t="s">
        <v>277</v>
      </c>
      <c r="O18" s="35" t="s">
        <v>1315</v>
      </c>
    </row>
    <row r="19" spans="1:15">
      <c r="A19" s="34"/>
      <c r="B19" s="35"/>
      <c r="C19" s="35"/>
      <c r="D19" s="8" t="s">
        <v>256</v>
      </c>
      <c r="E19" s="9" t="s">
        <v>796</v>
      </c>
      <c r="F19" s="4" t="str">
        <f>HYPERLINK("https://stat100.ameba.jp/tnk47/ratio20/illustrations/card/ill_68783_1_gantammomotaro03.jpg", "■")</f>
        <v>■</v>
      </c>
      <c r="G19" s="1" t="s">
        <v>357</v>
      </c>
      <c r="H19" s="35"/>
      <c r="I19" s="35"/>
      <c r="J19" s="37"/>
      <c r="K19" s="37"/>
      <c r="L19" s="37"/>
      <c r="M19" s="1" t="s">
        <v>259</v>
      </c>
      <c r="N19" s="1" t="s">
        <v>358</v>
      </c>
      <c r="O19" s="35"/>
    </row>
    <row r="20" spans="1:15">
      <c r="A20" s="34"/>
      <c r="B20" s="35"/>
      <c r="C20" s="35"/>
      <c r="D20" s="8" t="s">
        <v>257</v>
      </c>
      <c r="E20" s="9" t="s">
        <v>802</v>
      </c>
      <c r="F20" s="4" t="str">
        <f>HYPERLINK("https://stat100.ameba.jp/tnk47/ratio20/illustrations/card/ill_68783_2_gantammomotaro03.jpg", "■")</f>
        <v>■</v>
      </c>
      <c r="G20" s="1" t="s">
        <v>261</v>
      </c>
      <c r="H20" s="35"/>
      <c r="I20" s="35"/>
      <c r="J20" s="37"/>
      <c r="K20" s="37"/>
      <c r="L20" s="37"/>
      <c r="M20" s="1" t="s">
        <v>260</v>
      </c>
      <c r="N20" s="1" t="s">
        <v>359</v>
      </c>
      <c r="O20" s="35"/>
    </row>
    <row r="21" spans="1:15">
      <c r="A21" s="33">
        <v>43282</v>
      </c>
      <c r="B21" s="35">
        <v>73773</v>
      </c>
      <c r="C21" s="35" t="s">
        <v>104</v>
      </c>
      <c r="D21" s="8" t="s">
        <v>247</v>
      </c>
      <c r="E21" s="9" t="s">
        <v>789</v>
      </c>
      <c r="F21" s="4" t="str">
        <f>HYPERLINK("https://stat100.ameba.jp/tnk47/ratio20/illustrations/card/ill_73773_0_umibirakiinugamigyobu03.jpg", "■")</f>
        <v>■</v>
      </c>
      <c r="G21" s="1" t="s">
        <v>250</v>
      </c>
      <c r="H21" s="35" t="s">
        <v>589</v>
      </c>
      <c r="I21" s="35"/>
      <c r="J21" s="36" t="s">
        <v>955</v>
      </c>
      <c r="K21" s="36" t="s">
        <v>956</v>
      </c>
      <c r="L21" s="36" t="s">
        <v>957</v>
      </c>
      <c r="M21" s="1" t="s">
        <v>360</v>
      </c>
      <c r="N21" s="1" t="s">
        <v>252</v>
      </c>
      <c r="O21" s="35" t="s">
        <v>1321</v>
      </c>
    </row>
    <row r="22" spans="1:15">
      <c r="A22" s="34"/>
      <c r="B22" s="35"/>
      <c r="C22" s="35"/>
      <c r="D22" s="8" t="s">
        <v>248</v>
      </c>
      <c r="E22" s="9" t="s">
        <v>797</v>
      </c>
      <c r="F22" s="4" t="str">
        <f>HYPERLINK("https://stat100.ameba.jp/tnk47/ratio20/illustrations/card/ill_73773_1_umibirakiinugamigyobu03.jpg", "■")</f>
        <v>■</v>
      </c>
      <c r="G22" s="1" t="s">
        <v>361</v>
      </c>
      <c r="H22" s="35"/>
      <c r="I22" s="35"/>
      <c r="J22" s="37"/>
      <c r="K22" s="37"/>
      <c r="L22" s="37"/>
      <c r="M22" s="1" t="s">
        <v>363</v>
      </c>
      <c r="N22" s="1" t="s">
        <v>253</v>
      </c>
      <c r="O22" s="35"/>
    </row>
    <row r="23" spans="1:15">
      <c r="A23" s="34"/>
      <c r="B23" s="35"/>
      <c r="C23" s="35"/>
      <c r="D23" s="8" t="s">
        <v>249</v>
      </c>
      <c r="E23" s="9" t="s">
        <v>803</v>
      </c>
      <c r="F23" s="4" t="str">
        <f>HYPERLINK("https://stat100.ameba.jp/tnk47/ratio20/illustrations/card/ill_73773_2_umibirakiinugamigyobu03.jpg", "■")</f>
        <v>■</v>
      </c>
      <c r="G23" s="1" t="s">
        <v>251</v>
      </c>
      <c r="H23" s="35"/>
      <c r="I23" s="35"/>
      <c r="J23" s="37"/>
      <c r="K23" s="37"/>
      <c r="L23" s="37"/>
      <c r="M23" s="1" t="s">
        <v>362</v>
      </c>
      <c r="N23" s="1" t="s">
        <v>254</v>
      </c>
      <c r="O23" s="35"/>
    </row>
  </sheetData>
  <mergeCells count="63">
    <mergeCell ref="O18:O20"/>
    <mergeCell ref="O21:O23"/>
    <mergeCell ref="O3:O5"/>
    <mergeCell ref="O6:O8"/>
    <mergeCell ref="O9:O11"/>
    <mergeCell ref="O12:O14"/>
    <mergeCell ref="O15:O17"/>
    <mergeCell ref="L21:L23"/>
    <mergeCell ref="A6:A8"/>
    <mergeCell ref="C6:C8"/>
    <mergeCell ref="J6:J8"/>
    <mergeCell ref="K6:K8"/>
    <mergeCell ref="L6:L8"/>
    <mergeCell ref="A21:A23"/>
    <mergeCell ref="C21:C23"/>
    <mergeCell ref="J21:J23"/>
    <mergeCell ref="K21:K23"/>
    <mergeCell ref="J9:J11"/>
    <mergeCell ref="K9:K11"/>
    <mergeCell ref="A12:A14"/>
    <mergeCell ref="L15:L17"/>
    <mergeCell ref="L18:L20"/>
    <mergeCell ref="A15:A17"/>
    <mergeCell ref="C15:C17"/>
    <mergeCell ref="J15:J17"/>
    <mergeCell ref="K15:K17"/>
    <mergeCell ref="A18:A20"/>
    <mergeCell ref="C18:C20"/>
    <mergeCell ref="J18:J20"/>
    <mergeCell ref="K18:K20"/>
    <mergeCell ref="H18:H20"/>
    <mergeCell ref="I18:I20"/>
    <mergeCell ref="B18:B20"/>
    <mergeCell ref="A3:A5"/>
    <mergeCell ref="C12:C14"/>
    <mergeCell ref="J12:J14"/>
    <mergeCell ref="K12:K14"/>
    <mergeCell ref="L12:L14"/>
    <mergeCell ref="C3:C5"/>
    <mergeCell ref="J3:J5"/>
    <mergeCell ref="K3:K5"/>
    <mergeCell ref="L3:L5"/>
    <mergeCell ref="A9:A11"/>
    <mergeCell ref="L9:L11"/>
    <mergeCell ref="C9:C11"/>
    <mergeCell ref="H3:H5"/>
    <mergeCell ref="I3:I5"/>
    <mergeCell ref="H6:H8"/>
    <mergeCell ref="I6:I8"/>
    <mergeCell ref="B21:B23"/>
    <mergeCell ref="B3:B5"/>
    <mergeCell ref="B6:B8"/>
    <mergeCell ref="B9:B11"/>
    <mergeCell ref="B12:B14"/>
    <mergeCell ref="B15:B17"/>
    <mergeCell ref="H21:H23"/>
    <mergeCell ref="I21:I23"/>
    <mergeCell ref="H9:H11"/>
    <mergeCell ref="I9:I11"/>
    <mergeCell ref="H12:H14"/>
    <mergeCell ref="I12:I14"/>
    <mergeCell ref="H15:H17"/>
    <mergeCell ref="I15:I17"/>
  </mergeCells>
  <phoneticPr fontId="7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9B55-F68A-4F54-A3F6-606114ED9D6C}">
  <dimension ref="A1:O20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11" style="1" customWidth="1"/>
    <col min="2" max="2" width="6.4140625" style="1" customWidth="1"/>
    <col min="3" max="3" width="10.9140625" style="1" customWidth="1"/>
    <col min="4" max="4" width="6.75" style="1" customWidth="1"/>
    <col min="5" max="5" width="31.9140625" style="1" customWidth="1"/>
    <col min="6" max="6" width="3.75" style="7" customWidth="1"/>
    <col min="7" max="7" width="25.58203125" style="1" hidden="1" customWidth="1"/>
    <col min="8" max="9" width="17.9140625" style="5" hidden="1" customWidth="1"/>
    <col min="10" max="10" width="5.75" style="1" customWidth="1"/>
    <col min="11" max="12" width="8.9140625" style="1" customWidth="1"/>
    <col min="13" max="13" width="16.08203125" style="1" hidden="1" customWidth="1"/>
    <col min="14" max="14" width="72.58203125" style="1" customWidth="1"/>
    <col min="15" max="15" width="14.5" style="26" customWidth="1"/>
    <col min="16" max="16384" width="8.9140625" style="1"/>
  </cols>
  <sheetData>
    <row r="1" spans="1:15">
      <c r="A1" s="2" t="s">
        <v>511</v>
      </c>
      <c r="B1" s="2" t="s">
        <v>495</v>
      </c>
      <c r="C1" s="3" t="s">
        <v>0</v>
      </c>
      <c r="D1" s="2" t="s">
        <v>1</v>
      </c>
      <c r="E1" s="2" t="s">
        <v>2</v>
      </c>
      <c r="F1" s="2" t="s">
        <v>607</v>
      </c>
      <c r="G1" s="2" t="s">
        <v>494</v>
      </c>
      <c r="H1" s="2" t="s">
        <v>584</v>
      </c>
      <c r="I1" s="2" t="s">
        <v>585</v>
      </c>
      <c r="J1" s="2" t="s">
        <v>3</v>
      </c>
      <c r="K1" s="2" t="s">
        <v>243</v>
      </c>
      <c r="L1" s="2" t="s">
        <v>244</v>
      </c>
      <c r="M1" s="2" t="s">
        <v>4</v>
      </c>
      <c r="N1" s="2" t="s">
        <v>613</v>
      </c>
      <c r="O1" s="2" t="s">
        <v>1255</v>
      </c>
    </row>
    <row r="3" spans="1:15">
      <c r="A3" s="33">
        <v>42186</v>
      </c>
      <c r="B3" s="35">
        <v>40343</v>
      </c>
      <c r="C3" s="35" t="s">
        <v>22</v>
      </c>
      <c r="D3" s="8" t="s">
        <v>9</v>
      </c>
      <c r="E3" s="9" t="s">
        <v>804</v>
      </c>
      <c r="F3" s="4" t="str">
        <f>HYPERLINK("https://stat100.ameba.jp/tnk47/ratio20/illustrations/card/ill_40343_0_heshikirihasebekurodakambe03.jpg", "■")</f>
        <v>■</v>
      </c>
      <c r="G3" s="1" t="s">
        <v>170</v>
      </c>
      <c r="H3" s="35"/>
      <c r="I3" s="35"/>
      <c r="J3" s="36" t="s">
        <v>952</v>
      </c>
      <c r="K3" s="36" t="s">
        <v>953</v>
      </c>
      <c r="L3" s="36" t="s">
        <v>954</v>
      </c>
      <c r="M3" s="1" t="s">
        <v>171</v>
      </c>
      <c r="N3" s="1" t="s">
        <v>172</v>
      </c>
      <c r="O3" s="35"/>
    </row>
    <row r="4" spans="1:15">
      <c r="A4" s="34"/>
      <c r="B4" s="35"/>
      <c r="C4" s="35"/>
      <c r="D4" s="8" t="s">
        <v>159</v>
      </c>
      <c r="E4" s="9" t="s">
        <v>807</v>
      </c>
      <c r="F4" s="4" t="str">
        <f>HYPERLINK("https://stat100.ameba.jp/tnk47/ratio20/illustrations/card/ill_40343_1_heshikirihasebekurodakambe03.jpg", "■")</f>
        <v>■</v>
      </c>
      <c r="G4" s="1" t="s">
        <v>173</v>
      </c>
      <c r="H4" s="35"/>
      <c r="I4" s="35"/>
      <c r="J4" s="37"/>
      <c r="K4" s="37"/>
      <c r="L4" s="37"/>
      <c r="M4" s="1" t="s">
        <v>174</v>
      </c>
      <c r="N4" s="1" t="s">
        <v>175</v>
      </c>
      <c r="O4" s="35"/>
    </row>
    <row r="5" spans="1:15">
      <c r="A5" s="34"/>
      <c r="B5" s="35"/>
      <c r="C5" s="35"/>
      <c r="D5" s="8" t="s">
        <v>160</v>
      </c>
      <c r="E5" s="9" t="s">
        <v>808</v>
      </c>
      <c r="F5" s="4" t="str">
        <f>HYPERLINK("https://stat100.ameba.jp/tnk47/ratio20/illustrations/card/ill_40343_2_heshikirihasebekurodakambe03.jpg", "■")</f>
        <v>■</v>
      </c>
      <c r="G5" s="1" t="s">
        <v>176</v>
      </c>
      <c r="H5" s="35"/>
      <c r="I5" s="35"/>
      <c r="J5" s="37"/>
      <c r="K5" s="37"/>
      <c r="L5" s="37"/>
      <c r="M5" s="1" t="s">
        <v>177</v>
      </c>
      <c r="N5" s="1" t="s">
        <v>178</v>
      </c>
      <c r="O5" s="35"/>
    </row>
    <row r="6" spans="1:15">
      <c r="A6" s="33">
        <v>42370</v>
      </c>
      <c r="B6" s="35">
        <v>47263</v>
      </c>
      <c r="C6" s="35" t="s">
        <v>22</v>
      </c>
      <c r="D6" s="8" t="s">
        <v>23</v>
      </c>
      <c r="E6" s="9" t="s">
        <v>630</v>
      </c>
      <c r="F6" s="4" t="str">
        <f>HYPERLINK("https://stat100.ameba.jp/tnk47/ratio20/illustrations/card/ill_47263_0_oukyuuatsuhime03.jpg", "■")</f>
        <v>■</v>
      </c>
      <c r="G6" s="1" t="s">
        <v>25</v>
      </c>
      <c r="H6" s="35" t="s">
        <v>596</v>
      </c>
      <c r="I6" s="35"/>
      <c r="J6" s="36" t="s">
        <v>1156</v>
      </c>
      <c r="K6" s="36" t="s">
        <v>1157</v>
      </c>
      <c r="L6" s="36" t="s">
        <v>1158</v>
      </c>
      <c r="M6" s="1" t="s">
        <v>26</v>
      </c>
      <c r="N6" s="1" t="s">
        <v>38</v>
      </c>
      <c r="O6" s="35"/>
    </row>
    <row r="7" spans="1:15">
      <c r="A7" s="34"/>
      <c r="B7" s="35"/>
      <c r="C7" s="35"/>
      <c r="D7" s="8" t="s">
        <v>24</v>
      </c>
      <c r="E7" s="9" t="s">
        <v>805</v>
      </c>
      <c r="F7" s="4" t="str">
        <f>HYPERLINK("https://stat100.ameba.jp/tnk47/ratio20/illustrations/card/ill_47263_1_oukyuuatsuhime03.jpg", "■")</f>
        <v>■</v>
      </c>
      <c r="G7" s="1" t="s">
        <v>27</v>
      </c>
      <c r="H7" s="35"/>
      <c r="I7" s="35"/>
      <c r="J7" s="37"/>
      <c r="K7" s="37"/>
      <c r="L7" s="37"/>
      <c r="M7" s="1" t="s">
        <v>28</v>
      </c>
      <c r="N7" s="1" t="s">
        <v>39</v>
      </c>
      <c r="O7" s="35"/>
    </row>
    <row r="8" spans="1:15">
      <c r="A8" s="34"/>
      <c r="B8" s="35"/>
      <c r="C8" s="35"/>
      <c r="D8" s="8" t="s">
        <v>9</v>
      </c>
      <c r="E8" s="9" t="s">
        <v>806</v>
      </c>
      <c r="F8" s="4" t="str">
        <f>HYPERLINK("https://stat100.ameba.jp/tnk47/ratio20/illustrations/card/ill_47263_2_oukyuuatsuhime03.jpg", "■")</f>
        <v>■</v>
      </c>
      <c r="G8" s="1" t="s">
        <v>29</v>
      </c>
      <c r="H8" s="35"/>
      <c r="I8" s="35"/>
      <c r="J8" s="37"/>
      <c r="K8" s="37"/>
      <c r="L8" s="37"/>
      <c r="M8" s="1" t="s">
        <v>30</v>
      </c>
      <c r="N8" s="1" t="s">
        <v>40</v>
      </c>
      <c r="O8" s="35"/>
    </row>
    <row r="9" spans="1:15">
      <c r="A9" s="33">
        <v>42552</v>
      </c>
      <c r="B9" s="35">
        <v>52693</v>
      </c>
      <c r="C9" s="35" t="s">
        <v>22</v>
      </c>
      <c r="D9" s="8" t="s">
        <v>9</v>
      </c>
      <c r="E9" s="9" t="s">
        <v>809</v>
      </c>
      <c r="F9" s="4" t="str">
        <f>HYPERLINK("https://stat100.ameba.jp/tnk47/ratio20/illustrations/card/ill_52693_0_sengokumibirakiyanagiharabyakuren03.jpg", "■")</f>
        <v>■</v>
      </c>
      <c r="G9" s="1" t="s">
        <v>190</v>
      </c>
      <c r="H9" s="35" t="s">
        <v>589</v>
      </c>
      <c r="I9" s="35"/>
      <c r="J9" s="36" t="s">
        <v>865</v>
      </c>
      <c r="K9" s="36" t="s">
        <v>1075</v>
      </c>
      <c r="L9" s="36" t="s">
        <v>1076</v>
      </c>
      <c r="M9" s="1" t="s">
        <v>191</v>
      </c>
      <c r="N9" s="1" t="s">
        <v>192</v>
      </c>
      <c r="O9" s="35" t="s">
        <v>1298</v>
      </c>
    </row>
    <row r="10" spans="1:15">
      <c r="A10" s="34"/>
      <c r="B10" s="35"/>
      <c r="C10" s="35"/>
      <c r="D10" s="8" t="s">
        <v>185</v>
      </c>
      <c r="E10" s="9" t="s">
        <v>812</v>
      </c>
      <c r="F10" s="4" t="str">
        <f>HYPERLINK("https://stat100.ameba.jp/tnk47/ratio20/illustrations/card/ill_52693_1_sengokumibirakiyanagiharabyakuren03.jpg", "■")</f>
        <v>■</v>
      </c>
      <c r="G10" s="1" t="s">
        <v>193</v>
      </c>
      <c r="H10" s="35"/>
      <c r="I10" s="35"/>
      <c r="J10" s="37"/>
      <c r="K10" s="37"/>
      <c r="L10" s="37"/>
      <c r="M10" s="1" t="s">
        <v>194</v>
      </c>
      <c r="N10" s="1" t="s">
        <v>117</v>
      </c>
      <c r="O10" s="35"/>
    </row>
    <row r="11" spans="1:15">
      <c r="A11" s="34"/>
      <c r="B11" s="35"/>
      <c r="C11" s="35"/>
      <c r="D11" s="8" t="s">
        <v>189</v>
      </c>
      <c r="E11" s="9" t="s">
        <v>816</v>
      </c>
      <c r="F11" s="4" t="str">
        <f>HYPERLINK("https://stat100.ameba.jp/tnk47/ratio20/illustrations/card/ill_52693_2_sengokumibirakiyanagiharabyakuren03.jpg", "■")</f>
        <v>■</v>
      </c>
      <c r="G11" s="1" t="s">
        <v>195</v>
      </c>
      <c r="H11" s="35"/>
      <c r="I11" s="35"/>
      <c r="J11" s="37"/>
      <c r="K11" s="37"/>
      <c r="L11" s="37"/>
      <c r="M11" s="1" t="s">
        <v>196</v>
      </c>
      <c r="N11" s="1" t="s">
        <v>197</v>
      </c>
      <c r="O11" s="35"/>
    </row>
    <row r="12" spans="1:15">
      <c r="A12" s="33">
        <v>42736</v>
      </c>
      <c r="B12" s="35">
        <v>57733</v>
      </c>
      <c r="C12" s="35" t="s">
        <v>22</v>
      </c>
      <c r="D12" s="8" t="s">
        <v>182</v>
      </c>
      <c r="E12" s="9" t="s">
        <v>810</v>
      </c>
      <c r="F12" s="4" t="str">
        <f>HYPERLINK("https://stat100.ameba.jp/tnk47/ratio20/illustrations/card/ill_57733_0_shogatsunisenjunanaamakusashiro03.jpg", "■")</f>
        <v>■</v>
      </c>
      <c r="G12" s="1" t="s">
        <v>375</v>
      </c>
      <c r="H12" s="35" t="s">
        <v>594</v>
      </c>
      <c r="I12" s="35"/>
      <c r="J12" s="36" t="s">
        <v>897</v>
      </c>
      <c r="K12" s="36" t="s">
        <v>898</v>
      </c>
      <c r="L12" s="36" t="s">
        <v>899</v>
      </c>
      <c r="M12" s="1" t="s">
        <v>376</v>
      </c>
      <c r="N12" s="1" t="s">
        <v>377</v>
      </c>
      <c r="O12" s="35" t="s">
        <v>1304</v>
      </c>
    </row>
    <row r="13" spans="1:15">
      <c r="A13" s="34"/>
      <c r="B13" s="35"/>
      <c r="C13" s="35"/>
      <c r="D13" s="8" t="s">
        <v>183</v>
      </c>
      <c r="E13" s="9" t="s">
        <v>813</v>
      </c>
      <c r="F13" s="4" t="str">
        <f>HYPERLINK("https://stat100.ameba.jp/tnk47/ratio20/illustrations/card/ill_57733_1_shogatsunisenjunanaamakusashiro03.jpg", "■")</f>
        <v>■</v>
      </c>
      <c r="G13" s="1" t="s">
        <v>378</v>
      </c>
      <c r="H13" s="35"/>
      <c r="I13" s="35"/>
      <c r="J13" s="37"/>
      <c r="K13" s="37"/>
      <c r="L13" s="37"/>
      <c r="M13" s="1" t="s">
        <v>379</v>
      </c>
      <c r="N13" s="1" t="s">
        <v>380</v>
      </c>
      <c r="O13" s="35"/>
    </row>
    <row r="14" spans="1:15">
      <c r="A14" s="34"/>
      <c r="B14" s="35"/>
      <c r="C14" s="35"/>
      <c r="D14" s="8" t="s">
        <v>161</v>
      </c>
      <c r="E14" s="9" t="s">
        <v>817</v>
      </c>
      <c r="F14" s="4" t="str">
        <f>HYPERLINK("https://stat100.ameba.jp/tnk47/ratio20/illustrations/card/ill_57733_2_shogatsunisenjunanaamakusashiro03.jpg", "■")</f>
        <v>■</v>
      </c>
      <c r="G14" s="1" t="s">
        <v>381</v>
      </c>
      <c r="H14" s="35"/>
      <c r="I14" s="35"/>
      <c r="J14" s="37"/>
      <c r="K14" s="37"/>
      <c r="L14" s="37"/>
      <c r="M14" s="1" t="s">
        <v>382</v>
      </c>
      <c r="N14" s="1" t="s">
        <v>383</v>
      </c>
      <c r="O14" s="35"/>
    </row>
    <row r="15" spans="1:15">
      <c r="A15" s="33">
        <v>43040</v>
      </c>
      <c r="B15" s="35">
        <v>67173</v>
      </c>
      <c r="C15" s="35" t="s">
        <v>22</v>
      </c>
      <c r="D15" s="8" t="s">
        <v>15</v>
      </c>
      <c r="E15" s="9" t="s">
        <v>811</v>
      </c>
      <c r="F15" s="4" t="str">
        <f>HYPERLINK("https://stat100.ameba.jp/tnk47/ratio20/illustrations/card/ill_67173_0_yukemuriawamorichan03.jpg", "■")</f>
        <v>■</v>
      </c>
      <c r="G15" s="1" t="s">
        <v>32</v>
      </c>
      <c r="H15" s="35"/>
      <c r="I15" s="35" t="s">
        <v>597</v>
      </c>
      <c r="J15" s="36" t="s">
        <v>1185</v>
      </c>
      <c r="K15" s="36" t="s">
        <v>1186</v>
      </c>
      <c r="L15" s="36" t="s">
        <v>1187</v>
      </c>
      <c r="M15" s="1" t="s">
        <v>33</v>
      </c>
      <c r="N15" s="1" t="s">
        <v>325</v>
      </c>
      <c r="O15" s="35" t="s">
        <v>1313</v>
      </c>
    </row>
    <row r="16" spans="1:15">
      <c r="A16" s="34"/>
      <c r="B16" s="35"/>
      <c r="C16" s="35"/>
      <c r="D16" s="8" t="s">
        <v>8</v>
      </c>
      <c r="E16" s="9" t="s">
        <v>814</v>
      </c>
      <c r="F16" s="4" t="str">
        <f>HYPERLINK("https://stat100.ameba.jp/tnk47/ratio20/illustrations/card/ill_67173_1_yukemuriawamorichan03.jpg", "■")</f>
        <v>■</v>
      </c>
      <c r="G16" s="1" t="s">
        <v>34</v>
      </c>
      <c r="H16" s="35"/>
      <c r="I16" s="35"/>
      <c r="J16" s="37"/>
      <c r="K16" s="37"/>
      <c r="L16" s="37"/>
      <c r="M16" s="1" t="s">
        <v>35</v>
      </c>
      <c r="N16" s="1" t="s">
        <v>326</v>
      </c>
      <c r="O16" s="35"/>
    </row>
    <row r="17" spans="1:15">
      <c r="A17" s="34"/>
      <c r="B17" s="35"/>
      <c r="C17" s="35"/>
      <c r="D17" s="8" t="s">
        <v>31</v>
      </c>
      <c r="E17" s="9" t="s">
        <v>818</v>
      </c>
      <c r="F17" s="4" t="str">
        <f>HYPERLINK("https://stat100.ameba.jp/tnk47/ratio20/illustrations/card/ill_67173_2_yukemuriawamorichan03.jpg", "■")</f>
        <v>■</v>
      </c>
      <c r="G17" s="1" t="s">
        <v>36</v>
      </c>
      <c r="H17" s="35"/>
      <c r="I17" s="35"/>
      <c r="J17" s="37"/>
      <c r="K17" s="37"/>
      <c r="L17" s="37"/>
      <c r="M17" s="1" t="s">
        <v>37</v>
      </c>
      <c r="N17" s="1" t="s">
        <v>327</v>
      </c>
      <c r="O17" s="35"/>
    </row>
    <row r="18" spans="1:15">
      <c r="A18" s="33">
        <v>43221</v>
      </c>
      <c r="B18" s="35">
        <v>72233</v>
      </c>
      <c r="C18" s="35" t="s">
        <v>22</v>
      </c>
      <c r="D18" s="8" t="s">
        <v>42</v>
      </c>
      <c r="E18" s="9" t="s">
        <v>611</v>
      </c>
      <c r="F18" s="4" t="str">
        <f>HYPERLINK("https://stat100.ameba.jp/tnk47/ratio20/illustrations/card/ill_72233_0_koinoboriryugujin03.jpg", "■")</f>
        <v>■</v>
      </c>
      <c r="G18" s="1" t="s">
        <v>366</v>
      </c>
      <c r="H18" s="35" t="s">
        <v>586</v>
      </c>
      <c r="I18" s="35"/>
      <c r="J18" s="36" t="s">
        <v>862</v>
      </c>
      <c r="K18" s="36" t="s">
        <v>863</v>
      </c>
      <c r="L18" s="36" t="s">
        <v>864</v>
      </c>
      <c r="M18" s="1" t="s">
        <v>367</v>
      </c>
      <c r="N18" s="1" t="s">
        <v>368</v>
      </c>
      <c r="O18" s="35" t="s">
        <v>1319</v>
      </c>
    </row>
    <row r="19" spans="1:15">
      <c r="A19" s="34"/>
      <c r="B19" s="35"/>
      <c r="C19" s="35"/>
      <c r="D19" s="8" t="s">
        <v>364</v>
      </c>
      <c r="E19" s="9" t="s">
        <v>815</v>
      </c>
      <c r="F19" s="4" t="str">
        <f>HYPERLINK("https://stat100.ameba.jp/tnk47/ratio20/illustrations/card/ill_72233_1_koinoboriryugujin03.jpg", "■")</f>
        <v>■</v>
      </c>
      <c r="G19" s="1" t="s">
        <v>369</v>
      </c>
      <c r="H19" s="35"/>
      <c r="I19" s="35"/>
      <c r="J19" s="37"/>
      <c r="K19" s="37"/>
      <c r="L19" s="37"/>
      <c r="M19" s="1" t="s">
        <v>370</v>
      </c>
      <c r="N19" s="1" t="s">
        <v>371</v>
      </c>
      <c r="O19" s="35"/>
    </row>
    <row r="20" spans="1:15">
      <c r="A20" s="34"/>
      <c r="B20" s="35"/>
      <c r="C20" s="35"/>
      <c r="D20" s="8" t="s">
        <v>365</v>
      </c>
      <c r="E20" s="9" t="s">
        <v>819</v>
      </c>
      <c r="F20" s="4" t="str">
        <f>HYPERLINK("https://stat100.ameba.jp/tnk47/ratio20/illustrations/card/ill_72233_2_koinoboriryugujin03.jpg", "■")</f>
        <v>■</v>
      </c>
      <c r="G20" s="1" t="s">
        <v>372</v>
      </c>
      <c r="H20" s="35"/>
      <c r="I20" s="35"/>
      <c r="J20" s="37"/>
      <c r="K20" s="37"/>
      <c r="L20" s="37"/>
      <c r="M20" s="1" t="s">
        <v>373</v>
      </c>
      <c r="N20" s="1" t="s">
        <v>374</v>
      </c>
      <c r="O20" s="35"/>
    </row>
  </sheetData>
  <mergeCells count="54">
    <mergeCell ref="O18:O20"/>
    <mergeCell ref="O3:O5"/>
    <mergeCell ref="O6:O8"/>
    <mergeCell ref="O9:O11"/>
    <mergeCell ref="O12:O14"/>
    <mergeCell ref="O15:O17"/>
    <mergeCell ref="A18:A20"/>
    <mergeCell ref="C18:C20"/>
    <mergeCell ref="J18:J20"/>
    <mergeCell ref="K18:K20"/>
    <mergeCell ref="L18:L20"/>
    <mergeCell ref="B18:B20"/>
    <mergeCell ref="A15:A17"/>
    <mergeCell ref="A6:A8"/>
    <mergeCell ref="C3:C5"/>
    <mergeCell ref="J3:J5"/>
    <mergeCell ref="K3:K5"/>
    <mergeCell ref="A3:A5"/>
    <mergeCell ref="A12:A14"/>
    <mergeCell ref="C9:C11"/>
    <mergeCell ref="J9:J11"/>
    <mergeCell ref="K9:K11"/>
    <mergeCell ref="A9:A11"/>
    <mergeCell ref="C12:C14"/>
    <mergeCell ref="J12:J14"/>
    <mergeCell ref="K12:K14"/>
    <mergeCell ref="I9:I11"/>
    <mergeCell ref="H12:H14"/>
    <mergeCell ref="L3:L5"/>
    <mergeCell ref="C15:C17"/>
    <mergeCell ref="J15:J17"/>
    <mergeCell ref="K15:K17"/>
    <mergeCell ref="L15:L17"/>
    <mergeCell ref="C6:C8"/>
    <mergeCell ref="J6:J8"/>
    <mergeCell ref="K6:K8"/>
    <mergeCell ref="L6:L8"/>
    <mergeCell ref="L9:L11"/>
    <mergeCell ref="L12:L14"/>
    <mergeCell ref="H3:H5"/>
    <mergeCell ref="I3:I5"/>
    <mergeCell ref="H6:H8"/>
    <mergeCell ref="I6:I8"/>
    <mergeCell ref="H9:H11"/>
    <mergeCell ref="B3:B5"/>
    <mergeCell ref="B6:B8"/>
    <mergeCell ref="B9:B11"/>
    <mergeCell ref="B12:B14"/>
    <mergeCell ref="B15:B17"/>
    <mergeCell ref="I12:I14"/>
    <mergeCell ref="H15:H17"/>
    <mergeCell ref="I15:I17"/>
    <mergeCell ref="H18:H20"/>
    <mergeCell ref="I18:I20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全国</vt:lpstr>
      <vt:lpstr>北東</vt:lpstr>
      <vt:lpstr>関東</vt:lpstr>
      <vt:lpstr>中部</vt:lpstr>
      <vt:lpstr>近畿</vt:lpstr>
      <vt:lpstr>中四</vt:lpstr>
      <vt:lpstr>九沖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2022-05-02T01:41:02Z</dcterms:modified>
</cp:coreProperties>
</file>