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filterPrivacy="1"/>
  <xr:revisionPtr revIDLastSave="64" documentId="13_ncr:1000001_{856CF418-54EC-DC47-AF48-204E22B51AAB}" xr6:coauthVersionLast="47" xr6:coauthVersionMax="47" xr10:uidLastSave="{715A1C2B-E93F-438F-BA00-7F14C8C28924}"/>
  <bookViews>
    <workbookView xWindow="380" yWindow="380" windowWidth="13720" windowHeight="10880" tabRatio="717" xr2:uid="{00000000-000D-0000-FFFF-FFFF00000000}"/>
  </bookViews>
  <sheets>
    <sheet name="ラッキーメダル" sheetId="11" r:id="rId1"/>
    <sheet name="合体" sheetId="1" r:id="rId2"/>
    <sheet name="強DOWN" sheetId="10" r:id="rId3"/>
    <sheet name="6地方" sheetId="12" r:id="rId4"/>
    <sheet name="不良魂" sheetId="13" r:id="rId5"/>
    <sheet name="ロボティクス" sheetId="15" r:id="rId6"/>
    <sheet name="天幻来迎" sheetId="17" r:id="rId7"/>
    <sheet name="雑多な覚書1" sheetId="8" r:id="rId8"/>
    <sheet name="雑多な覚書2" sheetId="18" r:id="rId9"/>
    <sheet name="雑多な覚書3" sheetId="19" r:id="rId10"/>
    <sheet name="雑多な覚書4" sheetId="20" r:id="rId1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211" i="11" l="1"/>
  <c r="F210" i="11"/>
  <c r="F209" i="11"/>
  <c r="F208" i="11"/>
  <c r="E235" i="12" l="1"/>
  <c r="E234" i="12"/>
  <c r="E233" i="12"/>
  <c r="E232" i="12"/>
  <c r="E231" i="12"/>
  <c r="E230" i="12"/>
  <c r="E42" i="10"/>
  <c r="E41" i="10"/>
  <c r="F205" i="11"/>
  <c r="F204" i="11"/>
  <c r="F203" i="11"/>
  <c r="F202" i="11"/>
  <c r="F199" i="11"/>
  <c r="F198" i="11"/>
  <c r="F197" i="11"/>
  <c r="F196" i="11"/>
  <c r="E100" i="10"/>
  <c r="E99" i="10"/>
  <c r="E37" i="12"/>
  <c r="E38" i="12"/>
  <c r="E39" i="12"/>
  <c r="E40" i="12"/>
  <c r="E41" i="12"/>
  <c r="E42" i="12"/>
  <c r="E221" i="12"/>
  <c r="E222" i="12"/>
  <c r="E223" i="12"/>
  <c r="E224" i="12"/>
  <c r="E225" i="12"/>
  <c r="E220" i="12"/>
  <c r="E38" i="10"/>
  <c r="E37" i="10"/>
  <c r="E34" i="10"/>
  <c r="E33" i="10"/>
  <c r="E96" i="10"/>
  <c r="E95" i="10"/>
  <c r="E92" i="10"/>
  <c r="E91" i="10"/>
  <c r="F190" i="11"/>
  <c r="F191" i="11"/>
  <c r="F189" i="11"/>
  <c r="F188" i="11"/>
  <c r="E215" i="12"/>
  <c r="E214" i="12"/>
  <c r="E213" i="12"/>
  <c r="E212" i="12"/>
  <c r="E211" i="12"/>
  <c r="E210" i="12"/>
  <c r="F185" i="11"/>
  <c r="F184" i="11"/>
  <c r="F183" i="11"/>
  <c r="F182" i="11"/>
  <c r="E205" i="12"/>
  <c r="E204" i="12"/>
  <c r="E203" i="12"/>
  <c r="E202" i="12"/>
  <c r="E201" i="12"/>
  <c r="E200" i="12"/>
  <c r="F179" i="11"/>
  <c r="F178" i="11"/>
  <c r="F177" i="11"/>
  <c r="F176" i="11"/>
  <c r="F173" i="11"/>
  <c r="F172" i="11"/>
  <c r="F171" i="11"/>
  <c r="F170" i="11"/>
  <c r="E195" i="12"/>
  <c r="E194" i="12"/>
  <c r="E193" i="12"/>
  <c r="E192" i="12"/>
  <c r="E191" i="12"/>
  <c r="E190" i="12"/>
  <c r="F167" i="11"/>
  <c r="F166" i="11"/>
  <c r="F165" i="11"/>
  <c r="F164" i="11"/>
  <c r="F158" i="11"/>
  <c r="F159" i="11"/>
  <c r="F160" i="11"/>
  <c r="F161" i="11"/>
  <c r="E185" i="12"/>
  <c r="E184" i="12"/>
  <c r="E183" i="12"/>
  <c r="E182" i="12"/>
  <c r="E181" i="12"/>
  <c r="E180" i="12"/>
  <c r="E14" i="20"/>
  <c r="F154" i="11"/>
  <c r="F153" i="11"/>
  <c r="F152" i="11"/>
  <c r="F151" i="11"/>
  <c r="E41" i="20"/>
  <c r="E40" i="20"/>
  <c r="E39" i="20"/>
  <c r="E38" i="20"/>
  <c r="E37" i="20"/>
  <c r="E36" i="20"/>
  <c r="E35" i="20"/>
  <c r="E34" i="20"/>
  <c r="E33" i="20"/>
  <c r="E32" i="20"/>
  <c r="E30" i="20"/>
  <c r="E29" i="20"/>
  <c r="E28" i="20"/>
  <c r="E27" i="20"/>
  <c r="E26" i="20"/>
  <c r="E24" i="20"/>
  <c r="E23" i="20"/>
  <c r="E22" i="20"/>
  <c r="E21" i="20"/>
  <c r="E20" i="20"/>
  <c r="E19" i="20"/>
  <c r="E18" i="20"/>
  <c r="E17" i="20"/>
  <c r="E16" i="20"/>
  <c r="E15" i="20"/>
  <c r="E13" i="20"/>
  <c r="E12" i="20"/>
  <c r="E11" i="20"/>
  <c r="E10" i="20"/>
  <c r="E9" i="20"/>
  <c r="E8" i="20"/>
  <c r="E7" i="20"/>
  <c r="E6" i="20"/>
  <c r="E5" i="20"/>
  <c r="E86" i="8"/>
  <c r="E138" i="8"/>
  <c r="E73" i="19"/>
  <c r="E19" i="13"/>
  <c r="E148" i="8"/>
  <c r="E64" i="8"/>
  <c r="E65" i="8"/>
  <c r="E108" i="8"/>
  <c r="E146" i="8"/>
  <c r="E145" i="8"/>
  <c r="E40" i="8"/>
  <c r="E73" i="8"/>
  <c r="E28" i="19"/>
  <c r="E89" i="8"/>
  <c r="E45" i="18"/>
  <c r="E40" i="18"/>
  <c r="E29" i="18"/>
  <c r="E18" i="18"/>
  <c r="E16" i="18"/>
  <c r="E175" i="12"/>
  <c r="E174" i="12"/>
  <c r="E173" i="12"/>
  <c r="E172" i="12"/>
  <c r="E171" i="12"/>
  <c r="E170" i="12"/>
  <c r="E134" i="8"/>
  <c r="E39" i="19"/>
  <c r="E24" i="19"/>
  <c r="E16" i="19"/>
  <c r="E8" i="19"/>
  <c r="E31" i="8"/>
  <c r="E137" i="8"/>
  <c r="F148" i="11"/>
  <c r="F147" i="11"/>
  <c r="F146" i="11"/>
  <c r="F145" i="11"/>
  <c r="F139" i="11"/>
  <c r="F140" i="11"/>
  <c r="F141" i="11"/>
  <c r="F142" i="11"/>
  <c r="E165" i="12"/>
  <c r="E164" i="12"/>
  <c r="E163" i="12"/>
  <c r="E162" i="12"/>
  <c r="E160" i="12"/>
  <c r="E161" i="12"/>
  <c r="E6" i="8"/>
  <c r="E59" i="8"/>
  <c r="E50" i="8"/>
  <c r="F135" i="11"/>
  <c r="F134" i="11"/>
  <c r="F133" i="11"/>
  <c r="F136" i="11"/>
  <c r="E202" i="8"/>
  <c r="E172" i="8"/>
  <c r="F85" i="11"/>
  <c r="F7" i="11"/>
  <c r="F73" i="11"/>
  <c r="F87" i="11"/>
  <c r="F86" i="11"/>
  <c r="F79" i="11"/>
  <c r="F78" i="11"/>
  <c r="F77" i="11"/>
  <c r="F80" i="11"/>
  <c r="F71" i="11"/>
  <c r="F72" i="11"/>
  <c r="F65" i="11"/>
  <c r="F67" i="11"/>
  <c r="F68" i="11"/>
  <c r="F53" i="11"/>
  <c r="F54" i="11"/>
  <c r="F50" i="11"/>
  <c r="F41" i="11"/>
  <c r="F43" i="11"/>
  <c r="F36" i="11"/>
  <c r="F37" i="11"/>
  <c r="F30" i="11"/>
  <c r="F31" i="11"/>
  <c r="F32" i="11"/>
  <c r="F24" i="11"/>
  <c r="F25" i="11"/>
  <c r="F26" i="11"/>
  <c r="F27" i="11"/>
  <c r="F18" i="11"/>
  <c r="F20" i="11"/>
  <c r="F21" i="11"/>
  <c r="F13" i="11"/>
  <c r="F14" i="11"/>
  <c r="F6" i="11"/>
  <c r="F55" i="11"/>
  <c r="E63" i="19"/>
  <c r="E66" i="19"/>
  <c r="E67" i="19"/>
  <c r="E62" i="19"/>
  <c r="E61" i="19"/>
  <c r="E60" i="19"/>
  <c r="E59" i="19"/>
  <c r="E58" i="19"/>
  <c r="E57" i="19"/>
  <c r="E56" i="19"/>
  <c r="E55" i="19"/>
  <c r="E52" i="19"/>
  <c r="E53" i="19"/>
  <c r="E51" i="19"/>
  <c r="E50" i="19"/>
  <c r="E49" i="19"/>
  <c r="E47" i="19"/>
  <c r="E44" i="19"/>
  <c r="E45" i="19"/>
  <c r="E46" i="19"/>
  <c r="E43" i="19"/>
  <c r="E41" i="19"/>
  <c r="E38" i="19"/>
  <c r="E36" i="19"/>
  <c r="E37" i="19"/>
  <c r="E34" i="19"/>
  <c r="E32" i="19"/>
  <c r="E14" i="19"/>
  <c r="E11" i="19"/>
  <c r="E12" i="19"/>
  <c r="E191" i="8"/>
  <c r="F74" i="11"/>
  <c r="F47" i="11"/>
  <c r="F40" i="11"/>
  <c r="F42" i="11"/>
  <c r="F66" i="11"/>
  <c r="F19" i="11"/>
  <c r="F56" i="11"/>
  <c r="F59" i="11"/>
  <c r="F62" i="11"/>
  <c r="F60" i="11"/>
  <c r="F15" i="11"/>
  <c r="F12" i="11"/>
  <c r="F8" i="11"/>
  <c r="F5" i="11"/>
  <c r="F49" i="11"/>
  <c r="F48" i="11"/>
  <c r="F35" i="11"/>
  <c r="F61" i="11"/>
  <c r="E8" i="17"/>
  <c r="E7" i="17"/>
  <c r="E6" i="17"/>
  <c r="E5" i="17"/>
  <c r="E4" i="17"/>
  <c r="E3" i="17"/>
  <c r="E70" i="19"/>
  <c r="E76" i="19"/>
  <c r="E75" i="19"/>
  <c r="E72" i="19"/>
  <c r="E188" i="8"/>
  <c r="E147" i="8"/>
  <c r="E136" i="8"/>
  <c r="E119" i="8"/>
  <c r="E117" i="8"/>
  <c r="E114" i="8"/>
  <c r="E112" i="8"/>
  <c r="E96" i="8"/>
  <c r="E93" i="8"/>
  <c r="E92" i="8"/>
  <c r="E71" i="8"/>
  <c r="E53" i="8"/>
  <c r="E45" i="8"/>
  <c r="E41" i="8"/>
  <c r="E35" i="8"/>
  <c r="E29" i="8"/>
  <c r="E7" i="19"/>
  <c r="E208" i="8"/>
  <c r="E207" i="8"/>
  <c r="E201" i="8"/>
  <c r="E203" i="8"/>
  <c r="E69" i="19"/>
  <c r="E68" i="19"/>
  <c r="E65" i="19"/>
  <c r="E64" i="19"/>
  <c r="E194" i="8"/>
  <c r="E190" i="8"/>
  <c r="E189" i="8"/>
  <c r="E187" i="8"/>
  <c r="E186" i="8"/>
  <c r="E17" i="19"/>
  <c r="E13" i="19"/>
  <c r="E42" i="19"/>
  <c r="E40" i="19"/>
  <c r="E35" i="19"/>
  <c r="E30" i="19"/>
  <c r="E29" i="19"/>
  <c r="E26" i="19"/>
  <c r="E25" i="19"/>
  <c r="E23" i="19"/>
  <c r="E21" i="19"/>
  <c r="E20" i="19"/>
  <c r="E19" i="19"/>
  <c r="E18" i="19"/>
  <c r="E10" i="19"/>
  <c r="E184" i="8"/>
  <c r="E183" i="8"/>
  <c r="E182" i="8"/>
  <c r="E179" i="8"/>
  <c r="E178" i="8"/>
  <c r="F84" i="11"/>
  <c r="E174" i="8"/>
  <c r="E171" i="8"/>
  <c r="E170" i="8"/>
  <c r="E169" i="8"/>
  <c r="E167" i="8"/>
  <c r="E166" i="8"/>
  <c r="E163" i="8"/>
  <c r="E162" i="8"/>
  <c r="E153" i="8"/>
  <c r="E154" i="8"/>
  <c r="E161" i="8"/>
  <c r="E160" i="8"/>
  <c r="E158" i="8"/>
  <c r="E157" i="8"/>
  <c r="E155" i="8"/>
  <c r="E150" i="8"/>
  <c r="E144" i="8"/>
  <c r="E142" i="8"/>
  <c r="E141" i="8"/>
  <c r="E135" i="8"/>
  <c r="E133" i="8"/>
  <c r="E132" i="8"/>
  <c r="E131" i="8"/>
  <c r="E130" i="8"/>
  <c r="E48" i="18"/>
  <c r="E47" i="18"/>
  <c r="E46" i="18"/>
  <c r="E44" i="18"/>
  <c r="E43" i="18"/>
  <c r="E41" i="18"/>
  <c r="E39" i="18"/>
  <c r="E38" i="18"/>
  <c r="E37" i="18"/>
  <c r="E36" i="18"/>
  <c r="E35" i="18"/>
  <c r="E34" i="18"/>
  <c r="E33" i="18"/>
  <c r="E32" i="18"/>
  <c r="E31" i="18"/>
  <c r="E28" i="18"/>
  <c r="E27" i="18"/>
  <c r="E26" i="18"/>
  <c r="E24" i="18"/>
  <c r="E23" i="18"/>
  <c r="E22" i="18"/>
  <c r="E21" i="18"/>
  <c r="E20" i="18"/>
  <c r="E19" i="18"/>
  <c r="E15" i="18"/>
  <c r="E14" i="18"/>
  <c r="E13" i="18"/>
  <c r="E12" i="18"/>
  <c r="E11" i="18"/>
  <c r="E10" i="18"/>
  <c r="E8" i="18"/>
  <c r="E7" i="18"/>
  <c r="E6" i="18"/>
  <c r="E87" i="8"/>
  <c r="E85" i="8"/>
  <c r="E83" i="8"/>
  <c r="E82" i="8"/>
  <c r="E81" i="8"/>
  <c r="E80" i="8"/>
  <c r="E79" i="8"/>
  <c r="E77" i="8"/>
  <c r="E76" i="8"/>
  <c r="E75" i="8"/>
  <c r="E74" i="8"/>
  <c r="E69" i="8"/>
  <c r="E68" i="8"/>
  <c r="E67" i="8"/>
  <c r="E66" i="8"/>
  <c r="E62" i="8"/>
  <c r="E55" i="8"/>
  <c r="E54" i="8"/>
  <c r="E52" i="8"/>
  <c r="E51" i="8"/>
  <c r="E48" i="8"/>
  <c r="E47" i="8"/>
  <c r="E217" i="8"/>
  <c r="E215" i="8"/>
  <c r="E214" i="8"/>
  <c r="E213" i="8"/>
  <c r="E211" i="8"/>
  <c r="E210" i="8"/>
  <c r="E209" i="8"/>
  <c r="E206" i="8"/>
  <c r="E205" i="8"/>
  <c r="E204" i="8"/>
  <c r="E200" i="8"/>
  <c r="E199" i="8"/>
  <c r="E198" i="8"/>
  <c r="E197" i="8"/>
  <c r="E196" i="8"/>
  <c r="E195" i="8"/>
  <c r="E193" i="8"/>
  <c r="E192" i="8"/>
  <c r="E181" i="8"/>
  <c r="E180" i="8"/>
  <c r="E177" i="8"/>
  <c r="E176" i="8"/>
  <c r="E175" i="8"/>
  <c r="E173" i="8"/>
  <c r="E168" i="8"/>
  <c r="E165" i="8"/>
  <c r="E164" i="8"/>
  <c r="E159" i="8"/>
  <c r="E156" i="8"/>
  <c r="E151" i="8"/>
  <c r="E149" i="8"/>
  <c r="E143" i="8"/>
  <c r="E140" i="8"/>
  <c r="E139" i="8"/>
  <c r="E129" i="8"/>
  <c r="E127" i="8"/>
  <c r="E126" i="8"/>
  <c r="E125" i="8"/>
  <c r="E124" i="8"/>
  <c r="E123" i="8"/>
  <c r="E122" i="8"/>
  <c r="E121" i="8"/>
  <c r="E120" i="8"/>
  <c r="E118" i="8"/>
  <c r="E116" i="8"/>
  <c r="E115" i="8"/>
  <c r="E113" i="8"/>
  <c r="E111" i="8"/>
  <c r="E110" i="8"/>
  <c r="E109" i="8"/>
  <c r="E107" i="8"/>
  <c r="E106" i="8"/>
  <c r="E105" i="8"/>
  <c r="E104" i="8"/>
  <c r="E103" i="8"/>
  <c r="E102" i="8"/>
  <c r="E101" i="8"/>
  <c r="E100" i="8"/>
  <c r="E99" i="8"/>
  <c r="E98" i="8"/>
  <c r="E97" i="8"/>
  <c r="E95" i="8"/>
  <c r="E94" i="8"/>
  <c r="E91" i="8"/>
  <c r="E88" i="8"/>
  <c r="E84" i="8"/>
  <c r="E72" i="8"/>
  <c r="E70" i="8"/>
  <c r="E63" i="8"/>
  <c r="E61" i="8"/>
  <c r="E60" i="8"/>
  <c r="E58" i="8"/>
  <c r="E57" i="8"/>
  <c r="E49" i="8"/>
  <c r="E46" i="8"/>
  <c r="E44" i="8"/>
  <c r="E43" i="8"/>
  <c r="E42" i="8"/>
  <c r="E39" i="8"/>
  <c r="E38" i="8"/>
  <c r="E37" i="8"/>
  <c r="E36" i="8"/>
  <c r="E33" i="8"/>
  <c r="E32" i="8"/>
  <c r="E30" i="8"/>
  <c r="E28" i="8"/>
  <c r="E27" i="8"/>
  <c r="E26" i="8"/>
  <c r="E25" i="8"/>
  <c r="E24" i="8"/>
  <c r="E23" i="8"/>
  <c r="E22" i="8"/>
  <c r="E21" i="8"/>
  <c r="E20" i="8"/>
  <c r="E19" i="8"/>
  <c r="E18" i="8"/>
  <c r="E17" i="8"/>
  <c r="E16" i="8"/>
  <c r="E15" i="8"/>
  <c r="E14" i="8"/>
  <c r="E13" i="8"/>
  <c r="E12" i="8"/>
  <c r="E11" i="8"/>
  <c r="E10" i="8"/>
  <c r="E9" i="8"/>
  <c r="E8" i="8"/>
  <c r="E7" i="8"/>
  <c r="E24" i="17"/>
  <c r="E23" i="17"/>
  <c r="E22" i="17"/>
  <c r="E21" i="17"/>
  <c r="E20" i="17"/>
  <c r="E19" i="17"/>
  <c r="E18" i="17"/>
  <c r="E17" i="17"/>
  <c r="E16" i="17"/>
  <c r="E15" i="17"/>
  <c r="E14" i="17"/>
  <c r="E13" i="17"/>
  <c r="E12" i="17"/>
  <c r="E11" i="17"/>
  <c r="E10" i="17"/>
  <c r="E9" i="17"/>
  <c r="E8" i="15"/>
  <c r="E7" i="15"/>
  <c r="E6" i="15"/>
  <c r="E5" i="15"/>
  <c r="E4" i="15"/>
  <c r="E3" i="15"/>
  <c r="E29" i="13"/>
  <c r="E28" i="13"/>
  <c r="E27" i="13"/>
  <c r="E26" i="13"/>
  <c r="E25" i="13"/>
  <c r="E24" i="13"/>
  <c r="E23" i="13"/>
  <c r="E22" i="13"/>
  <c r="E21" i="13"/>
  <c r="E20" i="13"/>
  <c r="E18" i="13"/>
  <c r="E17" i="13"/>
  <c r="E16" i="13"/>
  <c r="E15" i="13"/>
  <c r="E14" i="13"/>
  <c r="E13" i="13"/>
  <c r="E12" i="13"/>
  <c r="E11" i="13"/>
  <c r="E10" i="13"/>
  <c r="E9" i="13"/>
  <c r="E8" i="13"/>
  <c r="E7" i="13"/>
  <c r="E6" i="13"/>
  <c r="E5" i="13"/>
  <c r="E4" i="13"/>
  <c r="E3" i="13"/>
  <c r="E12" i="12"/>
  <c r="E11" i="12"/>
  <c r="E10" i="12"/>
  <c r="E9" i="12"/>
  <c r="E8" i="12"/>
  <c r="E7" i="12"/>
  <c r="E32" i="12"/>
  <c r="E31" i="12"/>
  <c r="E30" i="12"/>
  <c r="E29" i="12"/>
  <c r="E28" i="12"/>
  <c r="E27" i="12"/>
  <c r="E22" i="12"/>
  <c r="E21" i="12"/>
  <c r="E20" i="12"/>
  <c r="E19" i="12"/>
  <c r="E18" i="12"/>
  <c r="E17" i="12"/>
  <c r="E52" i="12"/>
  <c r="E51" i="12"/>
  <c r="E50" i="12"/>
  <c r="E49" i="12"/>
  <c r="E48" i="12"/>
  <c r="E47" i="12"/>
  <c r="E62" i="12"/>
  <c r="E61" i="12"/>
  <c r="E60" i="12"/>
  <c r="E59" i="12"/>
  <c r="E58" i="12"/>
  <c r="E57" i="12"/>
  <c r="E72" i="12"/>
  <c r="E71" i="12"/>
  <c r="E70" i="12"/>
  <c r="E69" i="12"/>
  <c r="E68" i="12"/>
  <c r="E67" i="12"/>
  <c r="E82" i="12"/>
  <c r="E81" i="12"/>
  <c r="E80" i="12"/>
  <c r="E79" i="12"/>
  <c r="E78" i="12"/>
  <c r="E77" i="12"/>
  <c r="E92" i="12"/>
  <c r="E91" i="12"/>
  <c r="E90" i="12"/>
  <c r="E89" i="12"/>
  <c r="E88" i="12"/>
  <c r="E87" i="12"/>
  <c r="E102" i="12"/>
  <c r="E101" i="12"/>
  <c r="E100" i="12"/>
  <c r="E99" i="12"/>
  <c r="E98" i="12"/>
  <c r="E97" i="12"/>
  <c r="E112" i="12"/>
  <c r="E111" i="12"/>
  <c r="E110" i="12"/>
  <c r="E109" i="12"/>
  <c r="E108" i="12"/>
  <c r="E107" i="12"/>
  <c r="E122" i="12"/>
  <c r="E121" i="12"/>
  <c r="E120" i="12"/>
  <c r="E119" i="12"/>
  <c r="E118" i="12"/>
  <c r="E117" i="12"/>
  <c r="E133" i="12"/>
  <c r="E132" i="12"/>
  <c r="E131" i="12"/>
  <c r="E130" i="12"/>
  <c r="E129" i="12"/>
  <c r="E128" i="12"/>
  <c r="E143" i="12"/>
  <c r="E142" i="12"/>
  <c r="E141" i="12"/>
  <c r="E140" i="12"/>
  <c r="E139" i="12"/>
  <c r="E138" i="12"/>
  <c r="E153" i="12"/>
  <c r="E152" i="12"/>
  <c r="E151" i="12"/>
  <c r="E150" i="12"/>
  <c r="E149" i="12"/>
  <c r="E148" i="12"/>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 r="F10" i="1"/>
  <c r="F9" i="1"/>
  <c r="F8" i="1"/>
  <c r="F7" i="1"/>
  <c r="F6" i="1"/>
  <c r="F5" i="1"/>
  <c r="F4" i="1"/>
  <c r="E49" i="10"/>
  <c r="E48" i="10"/>
  <c r="E53" i="10"/>
  <c r="E52" i="10"/>
  <c r="E57" i="10"/>
  <c r="E56" i="10"/>
  <c r="E61" i="10"/>
  <c r="E60" i="10"/>
  <c r="E65" i="10"/>
  <c r="E64" i="10"/>
  <c r="E69" i="10"/>
  <c r="E68" i="10"/>
  <c r="E77" i="10"/>
  <c r="E76" i="10"/>
  <c r="E73" i="10"/>
  <c r="E72" i="10"/>
  <c r="E82" i="10"/>
  <c r="E81" i="10"/>
  <c r="E87" i="10"/>
  <c r="E86" i="10"/>
  <c r="E7" i="10"/>
  <c r="E6" i="10"/>
  <c r="E11" i="10"/>
  <c r="E10" i="10"/>
  <c r="E15" i="10"/>
  <c r="E14" i="10"/>
  <c r="E19" i="10"/>
  <c r="E18" i="10"/>
  <c r="E24" i="10"/>
  <c r="E23" i="10"/>
  <c r="E30" i="10"/>
  <c r="E29" i="10"/>
  <c r="F93" i="11"/>
  <c r="F92" i="11"/>
  <c r="F91" i="11"/>
  <c r="F90" i="11"/>
  <c r="F99" i="11"/>
  <c r="F98" i="11"/>
  <c r="F97" i="11"/>
  <c r="F96" i="11"/>
  <c r="F105" i="11"/>
  <c r="F104" i="11"/>
  <c r="F103" i="11"/>
  <c r="F102" i="11"/>
  <c r="F111" i="11"/>
  <c r="F110" i="11"/>
  <c r="F109" i="11"/>
  <c r="F108" i="11"/>
  <c r="F117" i="11"/>
  <c r="F116" i="11"/>
  <c r="F115" i="11"/>
  <c r="F114" i="11"/>
  <c r="F124" i="11"/>
  <c r="F123" i="11"/>
  <c r="F122" i="11"/>
  <c r="F121" i="11"/>
  <c r="F130" i="11"/>
  <c r="F129" i="11"/>
  <c r="F128" i="11"/>
  <c r="F127" i="11"/>
</calcChain>
</file>

<file path=xl/sharedStrings.xml><?xml version="1.0" encoding="utf-8"?>
<sst xmlns="http://schemas.openxmlformats.org/spreadsheetml/2006/main" count="6583" uniqueCount="3763">
  <si>
    <t>所属</t>
    <rPh sb="0" eb="2">
      <t>ショゾク</t>
    </rPh>
    <phoneticPr fontId="3"/>
  </si>
  <si>
    <t>タイプ</t>
    <phoneticPr fontId="3"/>
  </si>
  <si>
    <t>隊士名</t>
    <rPh sb="0" eb="2">
      <t>タイシ</t>
    </rPh>
    <rPh sb="2" eb="3">
      <t>メイ</t>
    </rPh>
    <phoneticPr fontId="3"/>
  </si>
  <si>
    <t>コスト</t>
    <phoneticPr fontId="3"/>
  </si>
  <si>
    <t>スキル名</t>
    <rPh sb="3" eb="4">
      <t>メイ</t>
    </rPh>
    <phoneticPr fontId="3"/>
  </si>
  <si>
    <t>全国</t>
    <rPh sb="0" eb="2">
      <t>ゼンコク</t>
    </rPh>
    <phoneticPr fontId="3"/>
  </si>
  <si>
    <t>飲食</t>
    <phoneticPr fontId="3"/>
  </si>
  <si>
    <t>ほうえんししむらえんぎ</t>
    <phoneticPr fontId="3"/>
  </si>
  <si>
    <t>甘美なくちどけ</t>
    <phoneticPr fontId="3"/>
  </si>
  <si>
    <t>タイプ神秘・知性派・飲食の攻40％UP</t>
    <phoneticPr fontId="3"/>
  </si>
  <si>
    <t>東日本</t>
    <rPh sb="0" eb="1">
      <t>ヒガシ</t>
    </rPh>
    <rPh sb="1" eb="3">
      <t>ニホン</t>
    </rPh>
    <phoneticPr fontId="3"/>
  </si>
  <si>
    <t>ひがしのししむらえんぎ</t>
    <phoneticPr fontId="3"/>
  </si>
  <si>
    <t>美味しさの秘密</t>
    <phoneticPr fontId="3"/>
  </si>
  <si>
    <t>タイプ神秘・知性派の攻25％UP</t>
    <phoneticPr fontId="3"/>
  </si>
  <si>
    <t>西日本</t>
    <rPh sb="0" eb="1">
      <t>ニシ</t>
    </rPh>
    <rPh sb="1" eb="3">
      <t>ニホン</t>
    </rPh>
    <phoneticPr fontId="3"/>
  </si>
  <si>
    <t>にしのししむらえんぎ</t>
    <phoneticPr fontId="3"/>
  </si>
  <si>
    <t>赤と白の宝石</t>
    <phoneticPr fontId="3"/>
  </si>
  <si>
    <t>姫</t>
    <rPh sb="0" eb="1">
      <t>ヒメ</t>
    </rPh>
    <phoneticPr fontId="3"/>
  </si>
  <si>
    <t>けんらんあでひめえんぎ</t>
    <phoneticPr fontId="3"/>
  </si>
  <si>
    <t>艶やかなる姫宴</t>
    <rPh sb="0" eb="1">
      <t>ツヤ</t>
    </rPh>
    <rPh sb="5" eb="6">
      <t>ヒメ</t>
    </rPh>
    <rPh sb="6" eb="7">
      <t>エン</t>
    </rPh>
    <phoneticPr fontId="3"/>
  </si>
  <si>
    <t>ひがしのあでひめえんぎ</t>
    <phoneticPr fontId="3"/>
  </si>
  <si>
    <t>姫君たちの盛宴</t>
    <phoneticPr fontId="3"/>
  </si>
  <si>
    <t>タイプ飲食・武人の攻30％UP</t>
    <phoneticPr fontId="3"/>
  </si>
  <si>
    <t>にしのあでひめえんぎ</t>
    <phoneticPr fontId="3"/>
  </si>
  <si>
    <t>姫君たちの饗宴</t>
    <phoneticPr fontId="3"/>
  </si>
  <si>
    <t>タイプ伝承・飲食の攻30％UP</t>
    <phoneticPr fontId="3"/>
  </si>
  <si>
    <t>知性派</t>
    <rPh sb="0" eb="2">
      <t>チセイ</t>
    </rPh>
    <rPh sb="2" eb="3">
      <t>ハ</t>
    </rPh>
    <phoneticPr fontId="3"/>
  </si>
  <si>
    <t>ぜっけいすいぼくえんぎ</t>
    <phoneticPr fontId="3"/>
  </si>
  <si>
    <t>濃淡が誘う原風景</t>
    <phoneticPr fontId="3"/>
  </si>
  <si>
    <t>ひがしのすいぼくえんぎ</t>
    <phoneticPr fontId="3"/>
  </si>
  <si>
    <t>墨が彩る世界</t>
    <phoneticPr fontId="3"/>
  </si>
  <si>
    <t>タイプ神秘・名物の防30％UP</t>
    <phoneticPr fontId="3"/>
  </si>
  <si>
    <t>にしのすいぼくえんぎ</t>
    <phoneticPr fontId="3"/>
  </si>
  <si>
    <t>墨で描く明暗</t>
    <phoneticPr fontId="3"/>
  </si>
  <si>
    <t>タイプ飲食・名物の防30％UP</t>
    <phoneticPr fontId="3"/>
  </si>
  <si>
    <t>びみどんぶりめしえんぎ</t>
    <phoneticPr fontId="3"/>
  </si>
  <si>
    <t>幻の丼飯</t>
    <phoneticPr fontId="3"/>
  </si>
  <si>
    <t>東日本</t>
    <phoneticPr fontId="3"/>
  </si>
  <si>
    <t>ひがしのどんぶりめしえんぎ</t>
    <phoneticPr fontId="3"/>
  </si>
  <si>
    <t>海と陸の幸パワー</t>
    <phoneticPr fontId="3"/>
  </si>
  <si>
    <t>タイプ偉人・神秘の攻30％UP</t>
    <phoneticPr fontId="3"/>
  </si>
  <si>
    <t>西日本</t>
    <phoneticPr fontId="3"/>
  </si>
  <si>
    <t>にしのどんぶりめしえんぎ</t>
    <phoneticPr fontId="3"/>
  </si>
  <si>
    <t>溢れる魚介パワー</t>
    <phoneticPr fontId="3"/>
  </si>
  <si>
    <t>伝承</t>
    <phoneticPr fontId="3"/>
  </si>
  <si>
    <t>けっさくぶんげいえんぎ</t>
    <phoneticPr fontId="3"/>
  </si>
  <si>
    <t>日本文豪傑作選</t>
    <phoneticPr fontId="3"/>
  </si>
  <si>
    <t>ひがしのぶんげいえんぎ</t>
    <phoneticPr fontId="3"/>
  </si>
  <si>
    <t>日本文学の礎</t>
    <phoneticPr fontId="3"/>
  </si>
  <si>
    <t>にしのぶんげいえんぎ</t>
    <phoneticPr fontId="3"/>
  </si>
  <si>
    <t>日本文学の基</t>
    <phoneticPr fontId="3"/>
  </si>
  <si>
    <t>名物</t>
    <rPh sb="0" eb="2">
      <t>メイブツ</t>
    </rPh>
    <phoneticPr fontId="3"/>
  </si>
  <si>
    <t>ふゆのでーとすぽっととくしゅう</t>
    <phoneticPr fontId="3"/>
  </si>
  <si>
    <t>恋路を照らす雪反射</t>
    <phoneticPr fontId="3"/>
  </si>
  <si>
    <t>ふゆのでーとすぽっとひがしにほん</t>
    <phoneticPr fontId="3"/>
  </si>
  <si>
    <t>とっておきの聖夜</t>
    <phoneticPr fontId="3"/>
  </si>
  <si>
    <t>タイプ妖怪・知性派の防30％UP</t>
    <phoneticPr fontId="3"/>
  </si>
  <si>
    <t>ふゆのでーとすぽっとにしにほん</t>
    <phoneticPr fontId="3"/>
  </si>
  <si>
    <t>恋人たちの聖夜</t>
    <phoneticPr fontId="3"/>
  </si>
  <si>
    <t>武人</t>
    <phoneticPr fontId="3"/>
  </si>
  <si>
    <t>ばくまつじんろうえんぎ</t>
    <phoneticPr fontId="3"/>
  </si>
  <si>
    <t>誇り高き武士であれ</t>
    <phoneticPr fontId="3"/>
  </si>
  <si>
    <t>ひがしのじんろうえんぎ</t>
    <phoneticPr fontId="3"/>
  </si>
  <si>
    <t>「誠」に捧げし刀</t>
    <phoneticPr fontId="3"/>
  </si>
  <si>
    <t>タイプ姫・伝承の攻20％UP</t>
    <phoneticPr fontId="3"/>
  </si>
  <si>
    <t>にしのじんろうえんぎ</t>
    <phoneticPr fontId="3"/>
  </si>
  <si>
    <t>新撰組を創りし男たち</t>
    <phoneticPr fontId="3"/>
  </si>
  <si>
    <t>神秘</t>
    <phoneticPr fontId="3"/>
  </si>
  <si>
    <t>てんぶれいちょうえんぎ</t>
    <phoneticPr fontId="3"/>
  </si>
  <si>
    <t>天武霊鳥光臨</t>
    <phoneticPr fontId="3"/>
  </si>
  <si>
    <t>ひがしのれいちょうえんぎ</t>
    <phoneticPr fontId="3"/>
  </si>
  <si>
    <t>神聖なる歌と舞</t>
    <phoneticPr fontId="3"/>
  </si>
  <si>
    <t>にしのれいちょうえんぎ</t>
    <phoneticPr fontId="3"/>
  </si>
  <si>
    <t>魅了する軽快なステップ</t>
    <phoneticPr fontId="3"/>
  </si>
  <si>
    <t>妖怪</t>
    <phoneticPr fontId="3"/>
  </si>
  <si>
    <t>きそうじょうきがいえんぎ</t>
    <phoneticPr fontId="3"/>
  </si>
  <si>
    <t>お化けと妖怪のスチームパンク</t>
    <phoneticPr fontId="3"/>
  </si>
  <si>
    <t>ひがしのじょうきがいえんぎ</t>
    <phoneticPr fontId="3"/>
  </si>
  <si>
    <t>蒸気の世界に灯る提灯</t>
    <phoneticPr fontId="3"/>
  </si>
  <si>
    <t>にしのじょうきがいえんぎ</t>
    <phoneticPr fontId="3"/>
  </si>
  <si>
    <t>煤けた街の化け妖怪</t>
    <phoneticPr fontId="3"/>
  </si>
  <si>
    <t>せいちょうげっこうえんぎ</t>
    <phoneticPr fontId="3"/>
  </si>
  <si>
    <t>地球を見守る乙女たち</t>
    <phoneticPr fontId="3"/>
  </si>
  <si>
    <t>ひがしのげっこうえんぎ</t>
    <phoneticPr fontId="3"/>
  </si>
  <si>
    <t>月の乙女たちの語らい</t>
    <phoneticPr fontId="3"/>
  </si>
  <si>
    <t>にしのげっこうえんぎ</t>
    <phoneticPr fontId="3"/>
  </si>
  <si>
    <t>天下一品！月のうさぎのお餅</t>
    <phoneticPr fontId="3"/>
  </si>
  <si>
    <t>偉人</t>
    <rPh sb="0" eb="2">
      <t>イジン</t>
    </rPh>
    <phoneticPr fontId="3"/>
  </si>
  <si>
    <t>かいえんしょうてんえんぎ</t>
    <phoneticPr fontId="3"/>
  </si>
  <si>
    <t>天を翔ける鶴のように</t>
    <phoneticPr fontId="3"/>
  </si>
  <si>
    <t>ひがしのしょうてんえんぎ</t>
    <phoneticPr fontId="3"/>
  </si>
  <si>
    <t>無敵の航海術</t>
    <phoneticPr fontId="3"/>
  </si>
  <si>
    <t>タイプ妖怪・名物の防35％UP</t>
    <phoneticPr fontId="3"/>
  </si>
  <si>
    <t>にしのしょうてんえんぎ</t>
    <phoneticPr fontId="3"/>
  </si>
  <si>
    <t>世界に羽ばたく構想</t>
    <phoneticPr fontId="3"/>
  </si>
  <si>
    <t>全国</t>
    <phoneticPr fontId="3"/>
  </si>
  <si>
    <t>武人</t>
    <rPh sb="0" eb="2">
      <t>ブジン</t>
    </rPh>
    <phoneticPr fontId="3"/>
  </si>
  <si>
    <t>とうげきりょうらんえんぎ</t>
    <phoneticPr fontId="3"/>
  </si>
  <si>
    <t>百花繚乱</t>
    <phoneticPr fontId="3"/>
  </si>
  <si>
    <t>ひがしのりょうらんえんぎ</t>
    <phoneticPr fontId="3"/>
  </si>
  <si>
    <t>戟ノ閃</t>
    <phoneticPr fontId="3"/>
  </si>
  <si>
    <t>タイプ姫・伝承の防15％UP</t>
    <phoneticPr fontId="3"/>
  </si>
  <si>
    <t>にしのりょうらんえんぎ</t>
    <phoneticPr fontId="3"/>
  </si>
  <si>
    <t>刀ノ舞</t>
    <phoneticPr fontId="3"/>
  </si>
  <si>
    <t>ごがくそうめいえんぎ</t>
    <phoneticPr fontId="3"/>
  </si>
  <si>
    <t>導く者よ英知を磨け</t>
    <rPh sb="0" eb="1">
      <t>ミチビ</t>
    </rPh>
    <rPh sb="2" eb="3">
      <t>モノ</t>
    </rPh>
    <rPh sb="4" eb="6">
      <t>エイチ</t>
    </rPh>
    <rPh sb="7" eb="8">
      <t>ミガ</t>
    </rPh>
    <phoneticPr fontId="3"/>
  </si>
  <si>
    <t>ひがしのそうめいえんぎ</t>
    <phoneticPr fontId="3"/>
  </si>
  <si>
    <t>歌子と算聖の対話は続く</t>
    <rPh sb="0" eb="2">
      <t>ウタコ</t>
    </rPh>
    <rPh sb="3" eb="4">
      <t>サン</t>
    </rPh>
    <rPh sb="4" eb="5">
      <t>セイ</t>
    </rPh>
    <rPh sb="6" eb="8">
      <t>タイワ</t>
    </rPh>
    <rPh sb="9" eb="10">
      <t>ツヅ</t>
    </rPh>
    <phoneticPr fontId="3"/>
  </si>
  <si>
    <t>タイプ神秘・飲食の攻25%UP　/　タイプ【知性派】の攻10%UP</t>
    <rPh sb="3" eb="5">
      <t>シンピ</t>
    </rPh>
    <rPh sb="6" eb="8">
      <t>インショク</t>
    </rPh>
    <rPh sb="9" eb="10">
      <t>コウ</t>
    </rPh>
    <rPh sb="22" eb="24">
      <t>チセイ</t>
    </rPh>
    <rPh sb="24" eb="25">
      <t>ハ</t>
    </rPh>
    <rPh sb="27" eb="28">
      <t>コウ</t>
    </rPh>
    <phoneticPr fontId="3"/>
  </si>
  <si>
    <t>にしのそうめいえんぎ</t>
    <phoneticPr fontId="3"/>
  </si>
  <si>
    <t>二人の軍医は人々とともに</t>
    <rPh sb="0" eb="2">
      <t>フタリ</t>
    </rPh>
    <rPh sb="3" eb="5">
      <t>グンイ</t>
    </rPh>
    <rPh sb="6" eb="8">
      <t>ヒトビト</t>
    </rPh>
    <phoneticPr fontId="3"/>
  </si>
  <si>
    <t>しきはなふだえんぎ</t>
    <phoneticPr fontId="3"/>
  </si>
  <si>
    <t>ひがしのはなふだえんぎ</t>
    <phoneticPr fontId="3"/>
  </si>
  <si>
    <t>にしのはなふだえんぎ</t>
    <phoneticPr fontId="3"/>
  </si>
  <si>
    <t>コスト</t>
  </si>
  <si>
    <t>【やきもち】六姫</t>
    <phoneticPr fontId="3"/>
  </si>
  <si>
    <t>やきもちろくひめ</t>
    <phoneticPr fontId="3"/>
  </si>
  <si>
    <t>妾だけを想うのじゃ！</t>
    <phoneticPr fontId="3"/>
  </si>
  <si>
    <t>2017/06防衛戦</t>
    <rPh sb="7" eb="10">
      <t>ボウエイセン</t>
    </rPh>
    <phoneticPr fontId="3"/>
  </si>
  <si>
    <t>名物</t>
    <phoneticPr fontId="3"/>
  </si>
  <si>
    <t>【月影】軍鶏</t>
    <phoneticPr fontId="3"/>
  </si>
  <si>
    <t>つきかげしゃも</t>
    <phoneticPr fontId="3"/>
  </si>
  <si>
    <t>振るう刃は本能の赴くがままに</t>
    <phoneticPr fontId="3"/>
  </si>
  <si>
    <t>知性派</t>
    <phoneticPr fontId="3"/>
  </si>
  <si>
    <t>【医学博士】北里柴三郎</t>
    <phoneticPr fontId="3"/>
  </si>
  <si>
    <t>いがくはかせきたさとしばさぶろう</t>
    <phoneticPr fontId="3"/>
  </si>
  <si>
    <t>見えなき病魔を討つ力</t>
    <phoneticPr fontId="3"/>
  </si>
  <si>
    <t>2017/05防衛戦</t>
    <rPh sb="7" eb="10">
      <t>ボウエイセン</t>
    </rPh>
    <phoneticPr fontId="3"/>
  </si>
  <si>
    <t>新島襄</t>
    <phoneticPr fontId="3"/>
  </si>
  <si>
    <t>にいじまじょう</t>
    <phoneticPr fontId="3"/>
  </si>
  <si>
    <t>我が校の門をくぐりたるもの</t>
    <phoneticPr fontId="3"/>
  </si>
  <si>
    <t>タイプ偉人・妖怪・名物の攻45％UP</t>
    <phoneticPr fontId="3"/>
  </si>
  <si>
    <t>【ピクニック】巴御前</t>
    <phoneticPr fontId="3"/>
  </si>
  <si>
    <t>ぴくにっくともえごぜん</t>
    <phoneticPr fontId="3"/>
  </si>
  <si>
    <t>一箱当千の絶品なりや</t>
    <phoneticPr fontId="3"/>
  </si>
  <si>
    <t>【五月病】左京ヶ橋の蛇</t>
    <phoneticPr fontId="3"/>
  </si>
  <si>
    <t>ごがつびょうさきょうがばしのへび</t>
    <phoneticPr fontId="3"/>
  </si>
  <si>
    <t>善悪を判断する橋の番人</t>
    <phoneticPr fontId="3"/>
  </si>
  <si>
    <t>タマムシ</t>
    <phoneticPr fontId="3"/>
  </si>
  <si>
    <t>たまむし</t>
    <phoneticPr fontId="3"/>
  </si>
  <si>
    <t>魅惑の玉虫色</t>
    <phoneticPr fontId="3"/>
  </si>
  <si>
    <t>2017/04防衛戦</t>
    <rPh sb="7" eb="10">
      <t>ボウエイセン</t>
    </rPh>
    <phoneticPr fontId="3"/>
  </si>
  <si>
    <t>【壇ノ浦】源義経</t>
    <rPh sb="1" eb="2">
      <t>ダン</t>
    </rPh>
    <rPh sb="3" eb="4">
      <t>ウラ</t>
    </rPh>
    <rPh sb="5" eb="8">
      <t>ミナモトノヨシツネ</t>
    </rPh>
    <phoneticPr fontId="3"/>
  </si>
  <si>
    <t>だんのうらみなもとのよしつね</t>
    <phoneticPr fontId="3"/>
  </si>
  <si>
    <t>壇ノ浦八艘飛び</t>
    <phoneticPr fontId="3"/>
  </si>
  <si>
    <t>【スクールガール】春日局</t>
    <phoneticPr fontId="3"/>
  </si>
  <si>
    <t>すくーるがーるかすがのつぼね</t>
    <phoneticPr fontId="3"/>
  </si>
  <si>
    <t>生徒会の実権者</t>
    <rPh sb="0" eb="3">
      <t>セイトカイ</t>
    </rPh>
    <rPh sb="4" eb="6">
      <t>ジッケン</t>
    </rPh>
    <rPh sb="6" eb="7">
      <t>シャ</t>
    </rPh>
    <phoneticPr fontId="3"/>
  </si>
  <si>
    <t>北海道・東北</t>
    <rPh sb="0" eb="3">
      <t>ホッカイドウ</t>
    </rPh>
    <rPh sb="4" eb="6">
      <t>トウホク</t>
    </rPh>
    <phoneticPr fontId="3"/>
  </si>
  <si>
    <t>飲食</t>
    <rPh sb="0" eb="2">
      <t>インショク</t>
    </rPh>
    <phoneticPr fontId="3"/>
  </si>
  <si>
    <t>フロマージュちゃん</t>
    <phoneticPr fontId="3"/>
  </si>
  <si>
    <t>ふろまーじゅちゃん</t>
    <phoneticPr fontId="3"/>
  </si>
  <si>
    <t>スイートフロマージュ</t>
    <phoneticPr fontId="3"/>
  </si>
  <si>
    <t>タイプ神秘・知性派・飲食の防35％UP</t>
    <phoneticPr fontId="3"/>
  </si>
  <si>
    <t>伝承</t>
    <rPh sb="0" eb="2">
      <t>デンショウ</t>
    </rPh>
    <phoneticPr fontId="3"/>
  </si>
  <si>
    <t>百段雛まつり</t>
    <rPh sb="0" eb="2">
      <t>ヒャクダン</t>
    </rPh>
    <rPh sb="2" eb="3">
      <t>ヒナ</t>
    </rPh>
    <phoneticPr fontId="3"/>
  </si>
  <si>
    <t>ひゃくだんひなまつり</t>
    <phoneticPr fontId="3"/>
  </si>
  <si>
    <t>豪華絢爛飾り雛</t>
    <rPh sb="0" eb="4">
      <t>ゴウカケンラン</t>
    </rPh>
    <rPh sb="4" eb="5">
      <t>カザ</t>
    </rPh>
    <rPh sb="6" eb="7">
      <t>ビナ</t>
    </rPh>
    <phoneticPr fontId="3"/>
  </si>
  <si>
    <t>タイプ伝承・武人・姫の攻15％UP　/　タイプ神秘・飲食・知性派・妖怪の防25％DOWN</t>
    <rPh sb="33" eb="35">
      <t>ヨウカイ</t>
    </rPh>
    <phoneticPr fontId="3"/>
  </si>
  <si>
    <t>2017/03防衛戦</t>
    <rPh sb="7" eb="10">
      <t>ボウエイセン</t>
    </rPh>
    <phoneticPr fontId="3"/>
  </si>
  <si>
    <t>クローバーハニーちゃん</t>
    <phoneticPr fontId="3"/>
  </si>
  <si>
    <t>くろーばーはにーちゃん</t>
    <phoneticPr fontId="3"/>
  </si>
  <si>
    <t>広い大地からの幸福</t>
    <rPh sb="0" eb="1">
      <t>ヒロ</t>
    </rPh>
    <rPh sb="2" eb="4">
      <t>ダイチ</t>
    </rPh>
    <rPh sb="7" eb="9">
      <t>コウフク</t>
    </rPh>
    <phoneticPr fontId="3"/>
  </si>
  <si>
    <t>タイプ神秘・知性派・飲食の攻35％UP</t>
    <phoneticPr fontId="3"/>
  </si>
  <si>
    <t>【ハンター】雑賀孫一</t>
    <rPh sb="6" eb="8">
      <t>サイカ</t>
    </rPh>
    <rPh sb="8" eb="10">
      <t>マゴイチ</t>
    </rPh>
    <phoneticPr fontId="3"/>
  </si>
  <si>
    <t>はんたーさいかまごいち</t>
    <phoneticPr fontId="3"/>
  </si>
  <si>
    <t>鉄の弾丸部隊</t>
    <rPh sb="0" eb="1">
      <t>クロガネ</t>
    </rPh>
    <rPh sb="2" eb="4">
      <t>ダンガン</t>
    </rPh>
    <rPh sb="4" eb="6">
      <t>ブタイ</t>
    </rPh>
    <phoneticPr fontId="3"/>
  </si>
  <si>
    <t>タイプ姫・伝承の攻20％UP　/　タイプ【武人】の攻5％UP</t>
    <rPh sb="8" eb="9">
      <t>コウ</t>
    </rPh>
    <rPh sb="25" eb="26">
      <t>コウ</t>
    </rPh>
    <phoneticPr fontId="3"/>
  </si>
  <si>
    <t>中国・四国</t>
    <rPh sb="0" eb="2">
      <t>チュウゴク</t>
    </rPh>
    <rPh sb="3" eb="5">
      <t>シコク</t>
    </rPh>
    <phoneticPr fontId="3"/>
  </si>
  <si>
    <t>偉人</t>
    <phoneticPr fontId="3"/>
  </si>
  <si>
    <t>カール・ユーハイム</t>
    <phoneticPr fontId="3"/>
  </si>
  <si>
    <t>かーるゆーはいむ</t>
    <phoneticPr fontId="3"/>
  </si>
  <si>
    <t>美味しいお菓子と夫婦の絆</t>
    <rPh sb="0" eb="2">
      <t>オイ</t>
    </rPh>
    <rPh sb="5" eb="7">
      <t>カシ</t>
    </rPh>
    <rPh sb="8" eb="10">
      <t>フウフ</t>
    </rPh>
    <rPh sb="11" eb="12">
      <t>キズナ</t>
    </rPh>
    <phoneticPr fontId="3"/>
  </si>
  <si>
    <t>タイプ偉人・妖怪・名物の防45％UP</t>
    <rPh sb="6" eb="8">
      <t>ヨウカイ</t>
    </rPh>
    <rPh sb="12" eb="13">
      <t>ボウ</t>
    </rPh>
    <phoneticPr fontId="3"/>
  </si>
  <si>
    <t>神秘</t>
    <rPh sb="0" eb="2">
      <t>シンピ</t>
    </rPh>
    <phoneticPr fontId="3"/>
  </si>
  <si>
    <t>鉄輪ノ井</t>
    <rPh sb="0" eb="2">
      <t>カナワ</t>
    </rPh>
    <rPh sb="3" eb="4">
      <t>イ</t>
    </rPh>
    <phoneticPr fontId="3"/>
  </si>
  <si>
    <t>かなわのい</t>
    <phoneticPr fontId="3"/>
  </si>
  <si>
    <t>縁切りの霊井</t>
    <rPh sb="0" eb="2">
      <t>エンキ</t>
    </rPh>
    <rPh sb="4" eb="5">
      <t>レイ</t>
    </rPh>
    <rPh sb="5" eb="6">
      <t>イ</t>
    </rPh>
    <phoneticPr fontId="3"/>
  </si>
  <si>
    <t>2017/02防衛戦</t>
    <rPh sb="7" eb="10">
      <t>ボウエイセン</t>
    </rPh>
    <phoneticPr fontId="3"/>
  </si>
  <si>
    <t>銀の鈴</t>
    <rPh sb="0" eb="1">
      <t>ギン</t>
    </rPh>
    <rPh sb="2" eb="3">
      <t>スズ</t>
    </rPh>
    <phoneticPr fontId="3"/>
  </si>
  <si>
    <t>ぎんのすず</t>
    <phoneticPr fontId="3"/>
  </si>
  <si>
    <t>雑踏に響く白銀の麗音</t>
    <rPh sb="0" eb="2">
      <t>ザットウ</t>
    </rPh>
    <rPh sb="3" eb="4">
      <t>ヒビ</t>
    </rPh>
    <rPh sb="5" eb="7">
      <t>ハクギン</t>
    </rPh>
    <rPh sb="8" eb="9">
      <t>レイ</t>
    </rPh>
    <rPh sb="9" eb="10">
      <t>オン</t>
    </rPh>
    <phoneticPr fontId="3"/>
  </si>
  <si>
    <t>タイプ【妖怪】防55％UP　/　タイプ偉人・名物の防30％UP</t>
    <rPh sb="7" eb="8">
      <t>ボウ</t>
    </rPh>
    <rPh sb="25" eb="26">
      <t>ボウ</t>
    </rPh>
    <phoneticPr fontId="3"/>
  </si>
  <si>
    <t>【大人の遊び】菊姫</t>
    <rPh sb="1" eb="3">
      <t>オトナ</t>
    </rPh>
    <rPh sb="4" eb="5">
      <t>アソ</t>
    </rPh>
    <rPh sb="7" eb="8">
      <t>キク</t>
    </rPh>
    <rPh sb="8" eb="9">
      <t>ヒメ</t>
    </rPh>
    <phoneticPr fontId="3"/>
  </si>
  <si>
    <t>おとなのあそびきくひめ</t>
    <phoneticPr fontId="3"/>
  </si>
  <si>
    <t>撞球に込めし伊予のひと突き</t>
    <rPh sb="0" eb="2">
      <t>ドウキュウ</t>
    </rPh>
    <rPh sb="3" eb="4">
      <t>コ</t>
    </rPh>
    <rPh sb="6" eb="8">
      <t>イヨ</t>
    </rPh>
    <rPh sb="11" eb="12">
      <t>ツ</t>
    </rPh>
    <phoneticPr fontId="3"/>
  </si>
  <si>
    <t>タイプ武人・伝承の攻40％UP　/　タイプ【姫】の攻35％UP</t>
    <rPh sb="4" eb="5">
      <t>ヒト</t>
    </rPh>
    <rPh sb="9" eb="10">
      <t>コウ</t>
    </rPh>
    <rPh sb="25" eb="26">
      <t>コウ</t>
    </rPh>
    <phoneticPr fontId="3"/>
  </si>
  <si>
    <t>立見尚文</t>
    <rPh sb="0" eb="2">
      <t>タツミ</t>
    </rPh>
    <rPh sb="2" eb="4">
      <t>ナオフミ</t>
    </rPh>
    <phoneticPr fontId="3"/>
  </si>
  <si>
    <t>たつみなおふみ</t>
    <phoneticPr fontId="3"/>
  </si>
  <si>
    <t>東洋一の不敗の名将</t>
    <rPh sb="0" eb="3">
      <t>トウヨウイチ</t>
    </rPh>
    <rPh sb="4" eb="6">
      <t>フハイ</t>
    </rPh>
    <rPh sb="7" eb="9">
      <t>メイショウ</t>
    </rPh>
    <phoneticPr fontId="3"/>
  </si>
  <si>
    <t>タイプ伝承・武人・姫の防25％UP　/　タイプ神秘・知性派・飲食の攻12％DOWN</t>
    <rPh sb="11" eb="12">
      <t>ボウ</t>
    </rPh>
    <rPh sb="33" eb="34">
      <t>コウ</t>
    </rPh>
    <phoneticPr fontId="3"/>
  </si>
  <si>
    <t>妖怪</t>
    <rPh sb="0" eb="2">
      <t>ヨウカイ</t>
    </rPh>
    <phoneticPr fontId="3"/>
  </si>
  <si>
    <t>【魔鳥】陰摩羅鬼</t>
    <rPh sb="1" eb="2">
      <t>マ</t>
    </rPh>
    <rPh sb="2" eb="3">
      <t>チョウ</t>
    </rPh>
    <rPh sb="4" eb="8">
      <t>オンモラキ</t>
    </rPh>
    <phoneticPr fontId="3"/>
  </si>
  <si>
    <t>まちょうおんもらき</t>
    <phoneticPr fontId="3"/>
  </si>
  <si>
    <t>黄泉の屍炎</t>
    <rPh sb="0" eb="2">
      <t>ヨミ</t>
    </rPh>
    <rPh sb="3" eb="4">
      <t>シカバネ</t>
    </rPh>
    <rPh sb="4" eb="5">
      <t>ホノオ</t>
    </rPh>
    <phoneticPr fontId="3"/>
  </si>
  <si>
    <t>タイプ名物・偉人・武人の攻45％UP　/　タイプ【妖怪】の攻30%UP</t>
    <rPh sb="3" eb="5">
      <t>メイブツ</t>
    </rPh>
    <rPh sb="6" eb="8">
      <t>イジン</t>
    </rPh>
    <rPh sb="9" eb="11">
      <t>ブジン</t>
    </rPh>
    <rPh sb="12" eb="13">
      <t>コウ</t>
    </rPh>
    <rPh sb="25" eb="27">
      <t>ヨウカイ</t>
    </rPh>
    <rPh sb="29" eb="30">
      <t>コウ</t>
    </rPh>
    <phoneticPr fontId="3"/>
  </si>
  <si>
    <t>2017/01防衛戦</t>
    <rPh sb="7" eb="10">
      <t>ボウエイセン</t>
    </rPh>
    <phoneticPr fontId="3"/>
  </si>
  <si>
    <t>【姫甲冑】愛姫</t>
    <rPh sb="1" eb="2">
      <t>ヒメ</t>
    </rPh>
    <rPh sb="2" eb="4">
      <t>カッチュウ</t>
    </rPh>
    <rPh sb="5" eb="6">
      <t>アイ</t>
    </rPh>
    <rPh sb="6" eb="7">
      <t>ヒメ</t>
    </rPh>
    <phoneticPr fontId="3"/>
  </si>
  <si>
    <t>ひめかっちゅうめごひめ</t>
    <phoneticPr fontId="3"/>
  </si>
  <si>
    <t>護るべき御人のためあらば</t>
    <rPh sb="0" eb="1">
      <t>マモ</t>
    </rPh>
    <rPh sb="4" eb="5">
      <t>ゴ</t>
    </rPh>
    <rPh sb="5" eb="6">
      <t>ヒト</t>
    </rPh>
    <phoneticPr fontId="3"/>
  </si>
  <si>
    <t>【占い師】白蛇姫</t>
    <rPh sb="1" eb="2">
      <t>ウラナ</t>
    </rPh>
    <rPh sb="3" eb="4">
      <t>シ</t>
    </rPh>
    <rPh sb="5" eb="6">
      <t>シロ</t>
    </rPh>
    <rPh sb="6" eb="7">
      <t>ヘビ</t>
    </rPh>
    <rPh sb="7" eb="8">
      <t>ヒメ</t>
    </rPh>
    <phoneticPr fontId="3"/>
  </si>
  <si>
    <t>うらないししろへびひめ</t>
    <phoneticPr fontId="3"/>
  </si>
  <si>
    <t>運命を導く白きアルカナ</t>
    <rPh sb="0" eb="2">
      <t>ウンメイ</t>
    </rPh>
    <rPh sb="3" eb="4">
      <t>ミチビ</t>
    </rPh>
    <rPh sb="5" eb="6">
      <t>シロ</t>
    </rPh>
    <phoneticPr fontId="3"/>
  </si>
  <si>
    <t>タイプ武人・知性派の防55％UP　/　タイプ姫・伝承の防30%UP</t>
    <rPh sb="3" eb="5">
      <t>ブジン</t>
    </rPh>
    <rPh sb="6" eb="8">
      <t>チセイ</t>
    </rPh>
    <rPh sb="8" eb="9">
      <t>ハ</t>
    </rPh>
    <rPh sb="10" eb="11">
      <t>ボウ</t>
    </rPh>
    <rPh sb="22" eb="23">
      <t>ヒメ</t>
    </rPh>
    <rPh sb="24" eb="26">
      <t>デンショウ</t>
    </rPh>
    <rPh sb="27" eb="28">
      <t>ボウ</t>
    </rPh>
    <phoneticPr fontId="3"/>
  </si>
  <si>
    <t>在原業平</t>
    <rPh sb="0" eb="4">
      <t>アリワラノナリヒラ</t>
    </rPh>
    <phoneticPr fontId="3"/>
  </si>
  <si>
    <t>ありわらのなりひら</t>
    <phoneticPr fontId="3"/>
  </si>
  <si>
    <t>文学に残る恋心</t>
    <rPh sb="0" eb="2">
      <t>ブンガク</t>
    </rPh>
    <rPh sb="3" eb="4">
      <t>ノコ</t>
    </rPh>
    <rPh sb="5" eb="7">
      <t>コイゴコロ</t>
    </rPh>
    <phoneticPr fontId="3"/>
  </si>
  <si>
    <t>タイプ伝承・神秘の攻55％UP　/　タイプ知性派・飲食の攻30%UP</t>
    <rPh sb="9" eb="10">
      <t>コウ</t>
    </rPh>
    <rPh sb="28" eb="29">
      <t>コウ</t>
    </rPh>
    <phoneticPr fontId="3"/>
  </si>
  <si>
    <t>東日本→全国</t>
    <rPh sb="0" eb="1">
      <t>ヒガシ</t>
    </rPh>
    <rPh sb="1" eb="3">
      <t>ニホン</t>
    </rPh>
    <rPh sb="4" eb="6">
      <t>ゼンコク</t>
    </rPh>
    <phoneticPr fontId="3"/>
  </si>
  <si>
    <t>姫</t>
    <phoneticPr fontId="3"/>
  </si>
  <si>
    <t>小少将</t>
    <phoneticPr fontId="3"/>
  </si>
  <si>
    <t>こしょうしょう</t>
    <phoneticPr fontId="3"/>
  </si>
  <si>
    <t>諏訪館の傾国</t>
    <rPh sb="0" eb="2">
      <t>スワ</t>
    </rPh>
    <rPh sb="2" eb="3">
      <t>ヤカタ</t>
    </rPh>
    <rPh sb="4" eb="6">
      <t>ケイコク</t>
    </rPh>
    <phoneticPr fontId="3"/>
  </si>
  <si>
    <t>西日本→全国</t>
    <rPh sb="4" eb="6">
      <t>ゼンコク</t>
    </rPh>
    <phoneticPr fontId="3"/>
  </si>
  <si>
    <t>【雪の自然現象】竜宮神</t>
    <phoneticPr fontId="3"/>
  </si>
  <si>
    <t>ゆきのしぜんげんしょうりゅうぐうじん</t>
    <phoneticPr fontId="3"/>
  </si>
  <si>
    <t>神をも魅了する神話</t>
    <rPh sb="0" eb="1">
      <t>カミ</t>
    </rPh>
    <rPh sb="3" eb="5">
      <t>ミリョウ</t>
    </rPh>
    <rPh sb="7" eb="9">
      <t>シンワ</t>
    </rPh>
    <phoneticPr fontId="3"/>
  </si>
  <si>
    <t>東日本→全国</t>
    <phoneticPr fontId="3"/>
  </si>
  <si>
    <t>【イルミネーション】一条美賀子</t>
    <phoneticPr fontId="3"/>
  </si>
  <si>
    <t>いるみねーしょんいちじょうみかこ</t>
    <phoneticPr fontId="3"/>
  </si>
  <si>
    <t>大きな聖なる樹の下で</t>
    <rPh sb="0" eb="1">
      <t>オオ</t>
    </rPh>
    <rPh sb="3" eb="4">
      <t>セイ</t>
    </rPh>
    <rPh sb="6" eb="7">
      <t>キ</t>
    </rPh>
    <rPh sb="8" eb="9">
      <t>シタ</t>
    </rPh>
    <phoneticPr fontId="3"/>
  </si>
  <si>
    <t>グッピー</t>
    <phoneticPr fontId="3"/>
  </si>
  <si>
    <t>ぐっぴー</t>
    <phoneticPr fontId="3"/>
  </si>
  <si>
    <t>南国のレインボー・フィン</t>
    <rPh sb="0" eb="2">
      <t>ナンゴク</t>
    </rPh>
    <phoneticPr fontId="3"/>
  </si>
  <si>
    <t>ハバネロ</t>
    <phoneticPr fontId="3"/>
  </si>
  <si>
    <t>はばねろ</t>
    <phoneticPr fontId="3"/>
  </si>
  <si>
    <t>刺激的な体験をあなたに</t>
    <phoneticPr fontId="3"/>
  </si>
  <si>
    <t>宗固狸</t>
    <phoneticPr fontId="3"/>
  </si>
  <si>
    <t>そうこたぬき</t>
    <phoneticPr fontId="3"/>
  </si>
  <si>
    <t>眠れる狸の皮算用</t>
    <phoneticPr fontId="3"/>
  </si>
  <si>
    <t>【マーチングバンド】稲荷大明神</t>
    <phoneticPr fontId="3"/>
  </si>
  <si>
    <t>まーちんぐばんどいなりだいみょうじん</t>
    <phoneticPr fontId="3"/>
  </si>
  <si>
    <t>マーチを彩る白狐の旗</t>
    <phoneticPr fontId="3"/>
  </si>
  <si>
    <t>【ブラック】坂本龍馬</t>
    <phoneticPr fontId="3"/>
  </si>
  <si>
    <t>ぶらっくさかもとりょうま</t>
    <phoneticPr fontId="3"/>
  </si>
  <si>
    <t>海を超えた先見の明</t>
    <phoneticPr fontId="3"/>
  </si>
  <si>
    <t>博多おくんち</t>
    <phoneticPr fontId="3"/>
  </si>
  <si>
    <t>はかたおくんち</t>
    <phoneticPr fontId="3"/>
  </si>
  <si>
    <t>博多を彩る秋の風物詩</t>
    <phoneticPr fontId="3"/>
  </si>
  <si>
    <t>【格闘技】森蘭丸</t>
    <phoneticPr fontId="3"/>
  </si>
  <si>
    <t>かくとうぎもりらんまる</t>
    <phoneticPr fontId="3"/>
  </si>
  <si>
    <t>門外不出の最強拳</t>
    <phoneticPr fontId="3"/>
  </si>
  <si>
    <t>関東→全国</t>
    <rPh sb="0" eb="2">
      <t>カントウ</t>
    </rPh>
    <rPh sb="3" eb="5">
      <t>ゼンコク</t>
    </rPh>
    <phoneticPr fontId="3"/>
  </si>
  <si>
    <t>【神舞】玉藻前</t>
    <phoneticPr fontId="3"/>
  </si>
  <si>
    <t>かみまいたまものまえ</t>
    <phoneticPr fontId="3"/>
  </si>
  <si>
    <t>扇子で仰ぐ妖狐の毒気</t>
    <phoneticPr fontId="3"/>
  </si>
  <si>
    <t>たぬきうどんちゃん</t>
    <phoneticPr fontId="3"/>
  </si>
  <si>
    <t>微笑みのハイカラバクダン</t>
    <phoneticPr fontId="3"/>
  </si>
  <si>
    <t>【おかし】厳島内侍</t>
    <phoneticPr fontId="3"/>
  </si>
  <si>
    <t>おかしいつくしまのないじ</t>
    <phoneticPr fontId="3"/>
  </si>
  <si>
    <t>王道を極めた祝福の甘さ</t>
    <phoneticPr fontId="3"/>
  </si>
  <si>
    <t>【羅刹】明智光秀</t>
    <phoneticPr fontId="3"/>
  </si>
  <si>
    <t>らせつあけちみつひで</t>
    <phoneticPr fontId="3"/>
  </si>
  <si>
    <t>燃え盛る裏切りの炎</t>
    <phoneticPr fontId="3"/>
  </si>
  <si>
    <t>タイプ飲食・知性派・姫・伝承の攻30％UP</t>
    <phoneticPr fontId="3"/>
  </si>
  <si>
    <t>【キャンプ】リュウグウノツカイ</t>
    <phoneticPr fontId="3"/>
  </si>
  <si>
    <t>きゃんぷりゅうぐうのつかい</t>
    <phoneticPr fontId="3"/>
  </si>
  <si>
    <t>星空に光る銀の鱗</t>
    <phoneticPr fontId="3"/>
  </si>
  <si>
    <t>【おばけ屋敷】クビワコウモリちゃん</t>
    <phoneticPr fontId="3"/>
  </si>
  <si>
    <t>おばけやしきくびわこうもりちゃん</t>
    <phoneticPr fontId="3"/>
  </si>
  <si>
    <t>暗闇に溶け込む生態</t>
    <phoneticPr fontId="3"/>
  </si>
  <si>
    <t>西日本→全国</t>
    <rPh sb="0" eb="1">
      <t>ニシ</t>
    </rPh>
    <rPh sb="1" eb="3">
      <t>ニホン</t>
    </rPh>
    <phoneticPr fontId="3"/>
  </si>
  <si>
    <t>【海軍】常山御前</t>
    <phoneticPr fontId="3"/>
  </si>
  <si>
    <t>かいぐんつねやまごぜん</t>
    <phoneticPr fontId="3"/>
  </si>
  <si>
    <t>常山女軍の指揮官</t>
    <phoneticPr fontId="3"/>
  </si>
  <si>
    <t>タイプ姫・伝承・妖怪・偉人の攻30％UP</t>
    <phoneticPr fontId="3"/>
  </si>
  <si>
    <t>【雅和楽器】松旭斎天勝</t>
    <phoneticPr fontId="3"/>
  </si>
  <si>
    <t>みやびわがっきしょうきょくさいてんかつ</t>
    <phoneticPr fontId="3"/>
  </si>
  <si>
    <t>魔術の女王の撥さばき</t>
    <phoneticPr fontId="3"/>
  </si>
  <si>
    <t>2016/08防衛戦</t>
    <rPh sb="7" eb="10">
      <t>ボウエイセン</t>
    </rPh>
    <phoneticPr fontId="3"/>
  </si>
  <si>
    <t>ユキヒョウ</t>
    <phoneticPr fontId="3"/>
  </si>
  <si>
    <t>ゆきひょう</t>
    <phoneticPr fontId="3"/>
  </si>
  <si>
    <t>雪に溶ける幻の動物</t>
    <phoneticPr fontId="3"/>
  </si>
  <si>
    <t>瑠璃色</t>
    <phoneticPr fontId="3"/>
  </si>
  <si>
    <t>るりいろ</t>
    <phoneticPr fontId="3"/>
  </si>
  <si>
    <t>深海の如き瑠璃盃</t>
    <phoneticPr fontId="3"/>
  </si>
  <si>
    <t>東日本→全国</t>
    <rPh sb="4" eb="6">
      <t>ゼンコク</t>
    </rPh>
    <phoneticPr fontId="3"/>
  </si>
  <si>
    <t>【カントリー】獏</t>
    <phoneticPr fontId="3"/>
  </si>
  <si>
    <t>かんとりーばく</t>
    <phoneticPr fontId="3"/>
  </si>
  <si>
    <t>癒しのモフモフと眠る夢</t>
    <phoneticPr fontId="3"/>
  </si>
  <si>
    <t>【刑事】山岡鉄舟</t>
    <phoneticPr fontId="3"/>
  </si>
  <si>
    <t>けいじやまおかてっしゅう</t>
    <phoneticPr fontId="3"/>
  </si>
  <si>
    <t>維新のエンジン音</t>
    <phoneticPr fontId="3"/>
  </si>
  <si>
    <t>【雨詩】寂蓮法師</t>
    <phoneticPr fontId="3"/>
  </si>
  <si>
    <t>あめうたじゃくれんほうし</t>
    <phoneticPr fontId="3"/>
  </si>
  <si>
    <t>にわか雨がもたらす薄霧</t>
    <phoneticPr fontId="3"/>
  </si>
  <si>
    <t>【冥暗】死神</t>
    <phoneticPr fontId="3"/>
  </si>
  <si>
    <t>めいあんしにがみ</t>
    <phoneticPr fontId="3"/>
  </si>
  <si>
    <t>最期を見取るもの</t>
    <phoneticPr fontId="3"/>
  </si>
  <si>
    <t>【小悪魔】濃姫</t>
    <phoneticPr fontId="3"/>
  </si>
  <si>
    <t>こあくまのうひめ</t>
    <phoneticPr fontId="3"/>
  </si>
  <si>
    <t>第六天魔王の妻</t>
    <phoneticPr fontId="3"/>
  </si>
  <si>
    <t>九州・沖縄→全国</t>
    <phoneticPr fontId="3"/>
  </si>
  <si>
    <t>【山ガール】篤姫</t>
    <phoneticPr fontId="3"/>
  </si>
  <si>
    <t>やまがーるあつひめ</t>
    <phoneticPr fontId="3"/>
  </si>
  <si>
    <t>試練を与える厳格な山</t>
    <phoneticPr fontId="3"/>
  </si>
  <si>
    <t>召喚アビリティ名</t>
    <rPh sb="0" eb="2">
      <t>ショウカン</t>
    </rPh>
    <rPh sb="7" eb="8">
      <t>メイ</t>
    </rPh>
    <phoneticPr fontId="3"/>
  </si>
  <si>
    <t>北海道・東北</t>
    <phoneticPr fontId="3"/>
  </si>
  <si>
    <t>はたはた</t>
    <phoneticPr fontId="3"/>
  </si>
  <si>
    <t>雷の魚</t>
    <rPh sb="0" eb="1">
      <t>カミナリ</t>
    </rPh>
    <rPh sb="2" eb="3">
      <t>サカナ</t>
    </rPh>
    <phoneticPr fontId="3"/>
  </si>
  <si>
    <t>タイプ神秘・知性派の攻40%UP　/　所属が【北海道・東北】とそれに属する県、および【全国】【東日本】の攻30%UP</t>
    <rPh sb="3" eb="5">
      <t>シンピ</t>
    </rPh>
    <rPh sb="6" eb="8">
      <t>チセイ</t>
    </rPh>
    <rPh sb="8" eb="9">
      <t>ハ</t>
    </rPh>
    <rPh sb="10" eb="11">
      <t>コウ</t>
    </rPh>
    <rPh sb="19" eb="21">
      <t>ショゾク</t>
    </rPh>
    <rPh sb="23" eb="26">
      <t>ホッカイドウ</t>
    </rPh>
    <rPh sb="27" eb="29">
      <t>トウホク</t>
    </rPh>
    <rPh sb="34" eb="35">
      <t>ゾク</t>
    </rPh>
    <rPh sb="37" eb="38">
      <t>ケン</t>
    </rPh>
    <rPh sb="43" eb="45">
      <t>ゼンコク</t>
    </rPh>
    <rPh sb="47" eb="48">
      <t>ヒガシ</t>
    </rPh>
    <rPh sb="48" eb="50">
      <t>ニホン</t>
    </rPh>
    <rPh sb="52" eb="53">
      <t>コウ</t>
    </rPh>
    <phoneticPr fontId="3"/>
  </si>
  <si>
    <t>所属一致ボーナス140%UP</t>
    <rPh sb="0" eb="2">
      <t>ショゾク</t>
    </rPh>
    <rPh sb="2" eb="4">
      <t>イッチ</t>
    </rPh>
    <phoneticPr fontId="3"/>
  </si>
  <si>
    <t>メインデッキの自地方隊士の所属一致ボーナスを140％UP（全国・東西日本所属は除く）</t>
    <phoneticPr fontId="3"/>
  </si>
  <si>
    <t>関東</t>
    <rPh sb="0" eb="2">
      <t>カントウ</t>
    </rPh>
    <phoneticPr fontId="3"/>
  </si>
  <si>
    <t>いいづかいがしち</t>
    <phoneticPr fontId="3"/>
  </si>
  <si>
    <t>からくり伊賀七</t>
    <rPh sb="4" eb="6">
      <t>イガ</t>
    </rPh>
    <rPh sb="6" eb="7">
      <t>シチ</t>
    </rPh>
    <phoneticPr fontId="3"/>
  </si>
  <si>
    <t>中部</t>
    <rPh sb="0" eb="2">
      <t>チュウブ</t>
    </rPh>
    <phoneticPr fontId="3"/>
  </si>
  <si>
    <t>なんきんたますだれ</t>
    <phoneticPr fontId="3"/>
  </si>
  <si>
    <t>乱れ舞う玉すだれ</t>
    <rPh sb="0" eb="1">
      <t>ミダ</t>
    </rPh>
    <rPh sb="2" eb="3">
      <t>マ</t>
    </rPh>
    <rPh sb="4" eb="5">
      <t>タマ</t>
    </rPh>
    <phoneticPr fontId="3"/>
  </si>
  <si>
    <t>メインデッキの自地方隊士の所属一致ボーナスを140％UP（全国・東西日本所属は除く）</t>
  </si>
  <si>
    <t>近畿</t>
    <phoneticPr fontId="3"/>
  </si>
  <si>
    <t>わだこれまさ</t>
    <phoneticPr fontId="3"/>
  </si>
  <si>
    <t>今際の際の鬼</t>
    <rPh sb="0" eb="2">
      <t>イマワ</t>
    </rPh>
    <rPh sb="3" eb="4">
      <t>キワ</t>
    </rPh>
    <rPh sb="5" eb="6">
      <t>オニ</t>
    </rPh>
    <phoneticPr fontId="3"/>
  </si>
  <si>
    <t>中国・四国</t>
    <phoneticPr fontId="3"/>
  </si>
  <si>
    <t>たけちずいざん</t>
    <phoneticPr fontId="3"/>
  </si>
  <si>
    <t>気高き土佐の志士</t>
    <rPh sb="0" eb="2">
      <t>ケダカ</t>
    </rPh>
    <rPh sb="3" eb="5">
      <t>トサ</t>
    </rPh>
    <rPh sb="6" eb="8">
      <t>シシ</t>
    </rPh>
    <phoneticPr fontId="3"/>
  </si>
  <si>
    <t>九州・沖縄</t>
    <phoneticPr fontId="3"/>
  </si>
  <si>
    <t>みやこじま</t>
    <phoneticPr fontId="3"/>
  </si>
  <si>
    <t>南国の風</t>
    <rPh sb="0" eb="2">
      <t>ナンゴク</t>
    </rPh>
    <rPh sb="3" eb="4">
      <t>カゼ</t>
    </rPh>
    <phoneticPr fontId="3"/>
  </si>
  <si>
    <t>あかした</t>
    <phoneticPr fontId="3"/>
  </si>
  <si>
    <t>十界羅刹</t>
    <rPh sb="0" eb="1">
      <t>ジュウ</t>
    </rPh>
    <rPh sb="1" eb="2">
      <t>カイ</t>
    </rPh>
    <rPh sb="2" eb="4">
      <t>ラセツ</t>
    </rPh>
    <phoneticPr fontId="3"/>
  </si>
  <si>
    <t>タイプ偉人・名物の攻40%UP　/　所属が【北海道・東北】とそれに属する県、および【全国】【東日本】の攻30%UP</t>
    <rPh sb="3" eb="5">
      <t>イジン</t>
    </rPh>
    <rPh sb="6" eb="8">
      <t>メイブツ</t>
    </rPh>
    <rPh sb="9" eb="10">
      <t>コウ</t>
    </rPh>
    <rPh sb="18" eb="20">
      <t>ショゾク</t>
    </rPh>
    <rPh sb="22" eb="25">
      <t>ホッカイドウ</t>
    </rPh>
    <rPh sb="26" eb="28">
      <t>トウホク</t>
    </rPh>
    <rPh sb="33" eb="34">
      <t>ゾク</t>
    </rPh>
    <rPh sb="36" eb="37">
      <t>ケン</t>
    </rPh>
    <rPh sb="42" eb="44">
      <t>ゼンコク</t>
    </rPh>
    <rPh sb="46" eb="47">
      <t>ヒガシ</t>
    </rPh>
    <rPh sb="47" eb="49">
      <t>ニホン</t>
    </rPh>
    <rPh sb="51" eb="52">
      <t>コウ</t>
    </rPh>
    <phoneticPr fontId="3"/>
  </si>
  <si>
    <t>所属一致ボーナス130%UP</t>
    <rPh sb="0" eb="2">
      <t>ショゾク</t>
    </rPh>
    <rPh sb="2" eb="4">
      <t>イッチ</t>
    </rPh>
    <phoneticPr fontId="3"/>
  </si>
  <si>
    <t>メインデッキの自地方隊士の所属一致ボーナスを130％UP（全国・東西日本所属は除く）</t>
    <phoneticPr fontId="3"/>
  </si>
  <si>
    <t>さがらそうぞう</t>
    <phoneticPr fontId="3"/>
  </si>
  <si>
    <t>不屈の赤き誇り</t>
    <rPh sb="0" eb="2">
      <t>フクツ</t>
    </rPh>
    <rPh sb="3" eb="4">
      <t>アカ</t>
    </rPh>
    <rPh sb="5" eb="6">
      <t>ホコ</t>
    </rPh>
    <phoneticPr fontId="3"/>
  </si>
  <si>
    <t>はやかわのりつぐ</t>
    <phoneticPr fontId="3"/>
  </si>
  <si>
    <t>遙かなり地下の龍脈</t>
    <rPh sb="0" eb="1">
      <t>ハル</t>
    </rPh>
    <rPh sb="4" eb="6">
      <t>チカ</t>
    </rPh>
    <rPh sb="7" eb="8">
      <t>リュウ</t>
    </rPh>
    <rPh sb="8" eb="9">
      <t>ミャク</t>
    </rPh>
    <phoneticPr fontId="3"/>
  </si>
  <si>
    <t>メインデッキの自地方隊士の所属一致ボーナスを130％UP（全国・東西日本所属は除く）</t>
  </si>
  <si>
    <t>まつのまるどの</t>
    <phoneticPr fontId="3"/>
  </si>
  <si>
    <t>秀吉の寵愛</t>
    <rPh sb="0" eb="2">
      <t>ヒデヨシ</t>
    </rPh>
    <rPh sb="3" eb="5">
      <t>チョウアイ</t>
    </rPh>
    <phoneticPr fontId="3"/>
  </si>
  <si>
    <t>おおかむづみのみこと</t>
    <phoneticPr fontId="3"/>
  </si>
  <si>
    <t>桃色三千世界</t>
    <rPh sb="0" eb="2">
      <t>モモイロ</t>
    </rPh>
    <rPh sb="2" eb="4">
      <t>サンゼン</t>
    </rPh>
    <rPh sb="4" eb="6">
      <t>セカイ</t>
    </rPh>
    <phoneticPr fontId="3"/>
  </si>
  <si>
    <t>あぐーぶたちゃん</t>
    <phoneticPr fontId="3"/>
  </si>
  <si>
    <t>ぜっぴん☆オキナワグルメ！！</t>
    <phoneticPr fontId="3"/>
  </si>
  <si>
    <t>むうひめ</t>
    <phoneticPr fontId="3"/>
  </si>
  <si>
    <t>一身に受ける父の愛</t>
    <rPh sb="0" eb="2">
      <t>イッシン</t>
    </rPh>
    <rPh sb="3" eb="4">
      <t>ウ</t>
    </rPh>
    <rPh sb="6" eb="7">
      <t>チチ</t>
    </rPh>
    <rPh sb="8" eb="9">
      <t>アイ</t>
    </rPh>
    <phoneticPr fontId="3"/>
  </si>
  <si>
    <t>きむらかいしゅう</t>
    <phoneticPr fontId="3"/>
  </si>
  <si>
    <t>才能溢れる咸臨丸提督</t>
    <rPh sb="0" eb="2">
      <t>サイノウ</t>
    </rPh>
    <rPh sb="2" eb="3">
      <t>アフ</t>
    </rPh>
    <rPh sb="5" eb="8">
      <t>カンリンマル</t>
    </rPh>
    <rPh sb="8" eb="10">
      <t>テイトク</t>
    </rPh>
    <phoneticPr fontId="3"/>
  </si>
  <si>
    <t>ひだわぎゅう</t>
    <phoneticPr fontId="3"/>
  </si>
  <si>
    <t>魅惑の霜降り</t>
    <rPh sb="0" eb="2">
      <t>ミワク</t>
    </rPh>
    <rPh sb="3" eb="5">
      <t>シモフ</t>
    </rPh>
    <phoneticPr fontId="3"/>
  </si>
  <si>
    <t>さるたひこのおおかみ</t>
    <phoneticPr fontId="3"/>
  </si>
  <si>
    <t>偉大なる天孫降臨の始まり</t>
    <rPh sb="0" eb="2">
      <t>イダイ</t>
    </rPh>
    <rPh sb="4" eb="6">
      <t>テンソン</t>
    </rPh>
    <rPh sb="6" eb="8">
      <t>コウリン</t>
    </rPh>
    <rPh sb="9" eb="10">
      <t>ハジ</t>
    </rPh>
    <phoneticPr fontId="3"/>
  </si>
  <si>
    <t>ぜにがたすなえ</t>
    <phoneticPr fontId="3"/>
  </si>
  <si>
    <t>金運を呼び込む宝</t>
    <rPh sb="0" eb="2">
      <t>キンウン</t>
    </rPh>
    <rPh sb="3" eb="4">
      <t>ヨ</t>
    </rPh>
    <rPh sb="5" eb="6">
      <t>コ</t>
    </rPh>
    <rPh sb="7" eb="8">
      <t>タカラ</t>
    </rPh>
    <phoneticPr fontId="3"/>
  </si>
  <si>
    <t>てんぐのかくれみの</t>
    <phoneticPr fontId="3"/>
  </si>
  <si>
    <t>灰となっても消えぬ神通力</t>
    <rPh sb="0" eb="1">
      <t>ハイ</t>
    </rPh>
    <rPh sb="6" eb="7">
      <t>キ</t>
    </rPh>
    <rPh sb="9" eb="12">
      <t>ジンツウリキ</t>
    </rPh>
    <phoneticPr fontId="3"/>
  </si>
  <si>
    <t>めるきーしる</t>
    <phoneticPr fontId="3"/>
  </si>
  <si>
    <t>戦乱を憂う聖女の祈り</t>
    <rPh sb="0" eb="2">
      <t>センラン</t>
    </rPh>
    <rPh sb="3" eb="4">
      <t>ウレ</t>
    </rPh>
    <rPh sb="5" eb="7">
      <t>セイジョ</t>
    </rPh>
    <rPh sb="8" eb="9">
      <t>イノ</t>
    </rPh>
    <phoneticPr fontId="3"/>
  </si>
  <si>
    <t>とるむしゃいと</t>
    <phoneticPr fontId="3"/>
  </si>
  <si>
    <t>大海へと広がる響き</t>
    <rPh sb="0" eb="2">
      <t>タイカイ</t>
    </rPh>
    <rPh sb="4" eb="5">
      <t>ヒロ</t>
    </rPh>
    <rPh sb="7" eb="8">
      <t>ヒビ</t>
    </rPh>
    <phoneticPr fontId="3"/>
  </si>
  <si>
    <t>てぃしゅとりあ</t>
    <phoneticPr fontId="3"/>
  </si>
  <si>
    <t>星と慈雨に加護を込めて</t>
    <rPh sb="0" eb="1">
      <t>ホシ</t>
    </rPh>
    <rPh sb="2" eb="4">
      <t>ジウ</t>
    </rPh>
    <rPh sb="5" eb="7">
      <t>カゴ</t>
    </rPh>
    <rPh sb="8" eb="9">
      <t>コ</t>
    </rPh>
    <phoneticPr fontId="3"/>
  </si>
  <si>
    <t>ふじつぼのみや</t>
    <phoneticPr fontId="3"/>
  </si>
  <si>
    <t>光る君の永遠の恋人</t>
    <rPh sb="0" eb="1">
      <t>ヒカ</t>
    </rPh>
    <rPh sb="2" eb="3">
      <t>キミ</t>
    </rPh>
    <rPh sb="4" eb="6">
      <t>エイエン</t>
    </rPh>
    <rPh sb="7" eb="9">
      <t>コイビト</t>
    </rPh>
    <phoneticPr fontId="3"/>
  </si>
  <si>
    <t>めふぃすとふぇれす</t>
    <phoneticPr fontId="3"/>
  </si>
  <si>
    <t>心に囁く悪魔の誘い</t>
    <rPh sb="0" eb="1">
      <t>ココロ</t>
    </rPh>
    <rPh sb="2" eb="3">
      <t>ササヤ</t>
    </rPh>
    <rPh sb="4" eb="6">
      <t>アクマ</t>
    </rPh>
    <rPh sb="7" eb="8">
      <t>サソ</t>
    </rPh>
    <phoneticPr fontId="3"/>
  </si>
  <si>
    <t>ていきんのふぃーれ</t>
    <phoneticPr fontId="3"/>
  </si>
  <si>
    <t>文化を彩る豊かな音色</t>
    <rPh sb="0" eb="2">
      <t>ブンカ</t>
    </rPh>
    <rPh sb="3" eb="4">
      <t>イロド</t>
    </rPh>
    <rPh sb="5" eb="6">
      <t>ユタ</t>
    </rPh>
    <rPh sb="8" eb="10">
      <t>ネイロ</t>
    </rPh>
    <phoneticPr fontId="3"/>
  </si>
  <si>
    <t>しらりかひめ</t>
    <phoneticPr fontId="3"/>
  </si>
  <si>
    <t>ユーカラに咲く絶世の花</t>
    <phoneticPr fontId="3"/>
  </si>
  <si>
    <t>あおがしまちゃん</t>
    <phoneticPr fontId="3"/>
  </si>
  <si>
    <t>絶海に浮かぶ二重カルデラの孤島</t>
    <phoneticPr fontId="3"/>
  </si>
  <si>
    <t>たいけんもんいんのほりかわ</t>
    <phoneticPr fontId="3"/>
  </si>
  <si>
    <t>別れを惜しむ、きりぎりす</t>
    <phoneticPr fontId="3"/>
  </si>
  <si>
    <t>いいなおすけ</t>
    <phoneticPr fontId="3"/>
  </si>
  <si>
    <t>一期一会の心得たるや</t>
    <phoneticPr fontId="3"/>
  </si>
  <si>
    <t>もとちかふじん</t>
    <phoneticPr fontId="3"/>
  </si>
  <si>
    <t>水心理因の心のごとく</t>
    <phoneticPr fontId="3"/>
  </si>
  <si>
    <t>あめのこやねのみこと</t>
    <phoneticPr fontId="3"/>
  </si>
  <si>
    <t>太陽を呼び戻した功労者</t>
    <phoneticPr fontId="3"/>
  </si>
  <si>
    <t>所属一致ボーナス120%UP</t>
    <rPh sb="0" eb="2">
      <t>ショゾク</t>
    </rPh>
    <rPh sb="2" eb="4">
      <t>イッチ</t>
    </rPh>
    <phoneticPr fontId="3"/>
  </si>
  <si>
    <t>メインデッキの自地方隊士の所属一致ボーナスを120％UP（全国・東西日本所属は除く）</t>
    <phoneticPr fontId="3"/>
  </si>
  <si>
    <t>うぉるたーうぇすとん</t>
    <phoneticPr fontId="3"/>
  </si>
  <si>
    <t>布教は山頂まで</t>
    <rPh sb="0" eb="2">
      <t>フキョウ</t>
    </rPh>
    <rPh sb="3" eb="5">
      <t>サンチョウ</t>
    </rPh>
    <phoneticPr fontId="3"/>
  </si>
  <si>
    <t>きんりゅうのまい</t>
    <phoneticPr fontId="3"/>
  </si>
  <si>
    <t>浅草寺の最古奉舞</t>
    <rPh sb="0" eb="2">
      <t>アサクサ</t>
    </rPh>
    <rPh sb="2" eb="3">
      <t>デラ</t>
    </rPh>
    <rPh sb="4" eb="6">
      <t>サイコ</t>
    </rPh>
    <rPh sb="6" eb="7">
      <t>ホウ</t>
    </rPh>
    <rPh sb="7" eb="8">
      <t>ブ</t>
    </rPh>
    <phoneticPr fontId="3"/>
  </si>
  <si>
    <t>おにだいこ</t>
    <phoneticPr fontId="3"/>
  </si>
  <si>
    <t>鬼舞う春の訪れ</t>
    <rPh sb="0" eb="1">
      <t>オニ</t>
    </rPh>
    <rPh sb="1" eb="2">
      <t>マ</t>
    </rPh>
    <rPh sb="3" eb="4">
      <t>ハル</t>
    </rPh>
    <rPh sb="5" eb="6">
      <t>オトズ</t>
    </rPh>
    <phoneticPr fontId="3"/>
  </si>
  <si>
    <t>近畿</t>
    <rPh sb="0" eb="2">
      <t>キンキ</t>
    </rPh>
    <phoneticPr fontId="3"/>
  </si>
  <si>
    <t>うしろがみ</t>
    <phoneticPr fontId="3"/>
  </si>
  <si>
    <t>後ろ髪引く臆病神</t>
    <rPh sb="0" eb="1">
      <t>ウシ</t>
    </rPh>
    <rPh sb="2" eb="3">
      <t>ガミ</t>
    </rPh>
    <rPh sb="3" eb="4">
      <t>ヒ</t>
    </rPh>
    <rPh sb="5" eb="7">
      <t>オクビョウ</t>
    </rPh>
    <rPh sb="7" eb="8">
      <t>ガミ</t>
    </rPh>
    <phoneticPr fontId="3"/>
  </si>
  <si>
    <t>むらかみたけよし</t>
    <phoneticPr fontId="3"/>
  </si>
  <si>
    <t>古今随一の操船</t>
    <rPh sb="0" eb="2">
      <t>ココン</t>
    </rPh>
    <rPh sb="2" eb="4">
      <t>ズイイチ</t>
    </rPh>
    <rPh sb="5" eb="7">
      <t>ソウセン</t>
    </rPh>
    <phoneticPr fontId="3"/>
  </si>
  <si>
    <t>ゆめのきゅうさく</t>
    <phoneticPr fontId="3"/>
  </si>
  <si>
    <t>奇妙なる謎を解く鍵</t>
    <rPh sb="0" eb="2">
      <t>キミョウ</t>
    </rPh>
    <rPh sb="4" eb="5">
      <t>ナゾ</t>
    </rPh>
    <rPh sb="6" eb="7">
      <t>ト</t>
    </rPh>
    <rPh sb="8" eb="9">
      <t>カギ</t>
    </rPh>
    <phoneticPr fontId="3"/>
  </si>
  <si>
    <t>所属一致ボーナス100%UP</t>
    <rPh sb="0" eb="2">
      <t>ショゾク</t>
    </rPh>
    <rPh sb="2" eb="4">
      <t>イッチ</t>
    </rPh>
    <phoneticPr fontId="3"/>
  </si>
  <si>
    <t>メインデッキの自地方隊士の所属一致ボーナスを100％UP（全国・東西日本所属は除く）</t>
    <phoneticPr fontId="3"/>
  </si>
  <si>
    <t>しヴぁーじー</t>
    <phoneticPr fontId="3"/>
  </si>
  <si>
    <t>マラーターの誇り</t>
    <phoneticPr fontId="3"/>
  </si>
  <si>
    <t>しろがねじゃんぬだるく</t>
    <phoneticPr fontId="3"/>
  </si>
  <si>
    <t>幸運の象徴</t>
    <phoneticPr fontId="3"/>
  </si>
  <si>
    <t>ゆきひめもみじひめ</t>
    <phoneticPr fontId="3"/>
  </si>
  <si>
    <t>湖面を漂う２色の姉妹鯉</t>
    <rPh sb="0" eb="2">
      <t>コメン</t>
    </rPh>
    <rPh sb="3" eb="4">
      <t>タダヨ</t>
    </rPh>
    <rPh sb="6" eb="7">
      <t>ショク</t>
    </rPh>
    <rPh sb="8" eb="10">
      <t>シマイ</t>
    </rPh>
    <rPh sb="10" eb="11">
      <t>コイ</t>
    </rPh>
    <phoneticPr fontId="3"/>
  </si>
  <si>
    <t>タイプ伝承・武人・姫の攻35%UP　/　所属が【西日本】と、それに属する地方・県、および【全国】の防35%DOWN</t>
    <rPh sb="3" eb="5">
      <t>デンショウ</t>
    </rPh>
    <rPh sb="6" eb="8">
      <t>ブジン</t>
    </rPh>
    <rPh sb="9" eb="10">
      <t>ヒメ</t>
    </rPh>
    <rPh sb="11" eb="12">
      <t>コウ</t>
    </rPh>
    <rPh sb="20" eb="22">
      <t>ショゾク</t>
    </rPh>
    <rPh sb="24" eb="25">
      <t>ニシ</t>
    </rPh>
    <rPh sb="25" eb="27">
      <t>ニホン</t>
    </rPh>
    <rPh sb="33" eb="34">
      <t>ゾク</t>
    </rPh>
    <rPh sb="36" eb="38">
      <t>チホウ</t>
    </rPh>
    <rPh sb="39" eb="40">
      <t>ケン</t>
    </rPh>
    <rPh sb="45" eb="47">
      <t>ゼンコク</t>
    </rPh>
    <rPh sb="49" eb="50">
      <t>ボウ</t>
    </rPh>
    <phoneticPr fontId="3"/>
  </si>
  <si>
    <t>こてつ</t>
    <phoneticPr fontId="3"/>
  </si>
  <si>
    <t>鍛冶場に響き渡る槌音</t>
    <rPh sb="0" eb="3">
      <t>カジバ</t>
    </rPh>
    <rPh sb="4" eb="5">
      <t>ヒビ</t>
    </rPh>
    <rPh sb="6" eb="7">
      <t>ワタ</t>
    </rPh>
    <rPh sb="8" eb="9">
      <t>ツチ</t>
    </rPh>
    <rPh sb="9" eb="10">
      <t>オン</t>
    </rPh>
    <phoneticPr fontId="3"/>
  </si>
  <si>
    <t>タイプ神秘・知性派・飲食の攻35%UP　/　所属が【東日本】と、それに属する地方・県、および【全国】の防35%DOWN</t>
    <rPh sb="3" eb="5">
      <t>シンピ</t>
    </rPh>
    <rPh sb="6" eb="8">
      <t>チセイ</t>
    </rPh>
    <rPh sb="8" eb="9">
      <t>ハ</t>
    </rPh>
    <rPh sb="10" eb="12">
      <t>インショク</t>
    </rPh>
    <rPh sb="13" eb="14">
      <t>コウ</t>
    </rPh>
    <rPh sb="22" eb="24">
      <t>ショゾク</t>
    </rPh>
    <rPh sb="26" eb="27">
      <t>ヒガシ</t>
    </rPh>
    <rPh sb="27" eb="29">
      <t>ニホン</t>
    </rPh>
    <rPh sb="35" eb="36">
      <t>ゾク</t>
    </rPh>
    <rPh sb="38" eb="40">
      <t>チホウ</t>
    </rPh>
    <rPh sb="41" eb="42">
      <t>ケン</t>
    </rPh>
    <rPh sb="47" eb="49">
      <t>ゼンコク</t>
    </rPh>
    <rPh sb="51" eb="52">
      <t>ボウ</t>
    </rPh>
    <phoneticPr fontId="3"/>
  </si>
  <si>
    <t>ささにしき</t>
    <phoneticPr fontId="3"/>
  </si>
  <si>
    <t>心地よくほどける幻の米</t>
    <rPh sb="0" eb="2">
      <t>ココチ</t>
    </rPh>
    <rPh sb="8" eb="9">
      <t>マボロシ</t>
    </rPh>
    <rPh sb="10" eb="11">
      <t>コメ</t>
    </rPh>
    <phoneticPr fontId="3"/>
  </si>
  <si>
    <t>タイプ神秘・知性派・飲食の攻35％UP　/　所属が【西日本】と、それに属する地方・県、および【全国】の防35％DOWN</t>
    <rPh sb="13" eb="14">
      <t>コウ</t>
    </rPh>
    <rPh sb="26" eb="27">
      <t>ニシ</t>
    </rPh>
    <rPh sb="51" eb="52">
      <t>ボウ</t>
    </rPh>
    <phoneticPr fontId="3"/>
  </si>
  <si>
    <t>こうけんてんのう</t>
    <phoneticPr fontId="3"/>
  </si>
  <si>
    <t>玉座におわす篤き女帝</t>
    <rPh sb="0" eb="2">
      <t>ギョクザ</t>
    </rPh>
    <rPh sb="6" eb="7">
      <t>アツ</t>
    </rPh>
    <rPh sb="8" eb="10">
      <t>ジョテイ</t>
    </rPh>
    <phoneticPr fontId="3"/>
  </si>
  <si>
    <t>タイプ伝承・武人・姫の攻35%UP　/　所属が【東日本】と、それに属する地方・県、および【全国】の防35%DOWN</t>
    <rPh sb="3" eb="5">
      <t>デンショウ</t>
    </rPh>
    <rPh sb="6" eb="8">
      <t>ブジン</t>
    </rPh>
    <rPh sb="9" eb="10">
      <t>ヒメ</t>
    </rPh>
    <rPh sb="11" eb="12">
      <t>コウ</t>
    </rPh>
    <rPh sb="20" eb="22">
      <t>ショゾク</t>
    </rPh>
    <rPh sb="24" eb="25">
      <t>ヒガシ</t>
    </rPh>
    <rPh sb="25" eb="27">
      <t>ニホン</t>
    </rPh>
    <rPh sb="33" eb="34">
      <t>ゾク</t>
    </rPh>
    <rPh sb="36" eb="38">
      <t>チホウ</t>
    </rPh>
    <rPh sb="39" eb="40">
      <t>ケン</t>
    </rPh>
    <rPh sb="45" eb="47">
      <t>ゼンコク</t>
    </rPh>
    <rPh sb="49" eb="50">
      <t>ボウ</t>
    </rPh>
    <phoneticPr fontId="3"/>
  </si>
  <si>
    <t>ほうじょうときむね</t>
    <phoneticPr fontId="3"/>
  </si>
  <si>
    <t>慈悲と無慈悲</t>
    <rPh sb="0" eb="2">
      <t>ジヒ</t>
    </rPh>
    <rPh sb="3" eb="6">
      <t>ムジヒ</t>
    </rPh>
    <phoneticPr fontId="3"/>
  </si>
  <si>
    <t>タイプ伝承・武人・姫の攻25％UP　/　所属が【西日本】と、それに属する地方・県、および【全国】の防25％DOWN</t>
    <rPh sb="11" eb="12">
      <t>コウ</t>
    </rPh>
    <rPh sb="24" eb="25">
      <t>ニシ</t>
    </rPh>
    <rPh sb="49" eb="50">
      <t>ボウ</t>
    </rPh>
    <phoneticPr fontId="3"/>
  </si>
  <si>
    <t>まじむん</t>
    <phoneticPr fontId="3"/>
  </si>
  <si>
    <t>美ら島の悪戯軍団</t>
    <rPh sb="0" eb="1">
      <t>チュ</t>
    </rPh>
    <rPh sb="2" eb="3">
      <t>シマ</t>
    </rPh>
    <rPh sb="4" eb="6">
      <t>イタズラ</t>
    </rPh>
    <rPh sb="6" eb="8">
      <t>グンダン</t>
    </rPh>
    <phoneticPr fontId="3"/>
  </si>
  <si>
    <t>タイプ偉人・妖怪・名物の攻25％UP　/　所属が【東日本】と、それに属する地方・県、および【全国】の防25％DOWN</t>
    <rPh sb="12" eb="13">
      <t>コウ</t>
    </rPh>
    <rPh sb="50" eb="51">
      <t>ボウ</t>
    </rPh>
    <phoneticPr fontId="3"/>
  </si>
  <si>
    <t>ねもふぃら</t>
    <phoneticPr fontId="3"/>
  </si>
  <si>
    <t>広がる瑠璃色の絨毯</t>
    <rPh sb="0" eb="1">
      <t>ヒロ</t>
    </rPh>
    <rPh sb="3" eb="6">
      <t>ルリイロ</t>
    </rPh>
    <rPh sb="7" eb="9">
      <t>ジュウタン</t>
    </rPh>
    <phoneticPr fontId="3"/>
  </si>
  <si>
    <t>タイプ偉人・妖怪・名物の攻25%UP　/　所属が【西日本】と、それに属する地方・県、および【全国】の防25%DOWN</t>
    <rPh sb="3" eb="5">
      <t>イジン</t>
    </rPh>
    <rPh sb="6" eb="8">
      <t>ヨウカイ</t>
    </rPh>
    <rPh sb="9" eb="11">
      <t>メイブツ</t>
    </rPh>
    <rPh sb="12" eb="13">
      <t>コウ</t>
    </rPh>
    <rPh sb="21" eb="23">
      <t>ショゾク</t>
    </rPh>
    <rPh sb="25" eb="26">
      <t>ニシ</t>
    </rPh>
    <rPh sb="26" eb="28">
      <t>ニホン</t>
    </rPh>
    <rPh sb="34" eb="35">
      <t>ゾク</t>
    </rPh>
    <rPh sb="37" eb="39">
      <t>チホウ</t>
    </rPh>
    <rPh sb="40" eb="41">
      <t>ケン</t>
    </rPh>
    <rPh sb="46" eb="48">
      <t>ゼンコク</t>
    </rPh>
    <rPh sb="50" eb="51">
      <t>ボウ</t>
    </rPh>
    <phoneticPr fontId="3"/>
  </si>
  <si>
    <t>やたのかがみ</t>
    <phoneticPr fontId="3"/>
  </si>
  <si>
    <t>天孫降臨の宝鏡</t>
    <rPh sb="0" eb="2">
      <t>テンソン</t>
    </rPh>
    <rPh sb="2" eb="4">
      <t>コウリン</t>
    </rPh>
    <rPh sb="5" eb="7">
      <t>ホウキョウ</t>
    </rPh>
    <phoneticPr fontId="3"/>
  </si>
  <si>
    <t>タイプ神秘・知性派・飲食の攻25％UP　/　所属が【東日本】と、それに属する地方・県、および【全国】の防25％DOWN</t>
    <rPh sb="13" eb="14">
      <t>コウ</t>
    </rPh>
    <rPh sb="26" eb="27">
      <t>ヒガシ</t>
    </rPh>
    <rPh sb="51" eb="52">
      <t>ボウ</t>
    </rPh>
    <phoneticPr fontId="3"/>
  </si>
  <si>
    <t>ふじゅつしさらしな</t>
    <phoneticPr fontId="3"/>
  </si>
  <si>
    <t>幸せへと導く符術の心</t>
    <rPh sb="0" eb="1">
      <t>シアワ</t>
    </rPh>
    <rPh sb="4" eb="5">
      <t>ミチビ</t>
    </rPh>
    <rPh sb="6" eb="7">
      <t>フ</t>
    </rPh>
    <rPh sb="7" eb="8">
      <t>ジュツ</t>
    </rPh>
    <rPh sb="9" eb="10">
      <t>ココロ</t>
    </rPh>
    <phoneticPr fontId="3"/>
  </si>
  <si>
    <t>タイプ伝承・武人・姫の防40%UP　/　所属が【西日本】と、それに属する地方・県、および【全国】の攻30%DOWN</t>
    <rPh sb="3" eb="5">
      <t>デンショウ</t>
    </rPh>
    <rPh sb="6" eb="8">
      <t>ブジン</t>
    </rPh>
    <rPh sb="9" eb="10">
      <t>ヒメ</t>
    </rPh>
    <rPh sb="11" eb="12">
      <t>ボウ</t>
    </rPh>
    <rPh sb="49" eb="50">
      <t>コウ</t>
    </rPh>
    <phoneticPr fontId="3"/>
  </si>
  <si>
    <t>おんみょうじいろは</t>
    <phoneticPr fontId="3"/>
  </si>
  <si>
    <t>妖魔を従える陰陽の業</t>
    <rPh sb="0" eb="2">
      <t>ヨウマ</t>
    </rPh>
    <rPh sb="3" eb="4">
      <t>シタガ</t>
    </rPh>
    <rPh sb="6" eb="8">
      <t>オンミョウ</t>
    </rPh>
    <rPh sb="9" eb="10">
      <t>ワザ</t>
    </rPh>
    <phoneticPr fontId="3"/>
  </si>
  <si>
    <t>タイプ神秘・知性派・飲食の防40％UP　/　所属が【東日本】と、それに属する地方・県、および【全国】の攻30％DOWN</t>
    <rPh sb="26" eb="27">
      <t>ヒガシ</t>
    </rPh>
    <rPh sb="27" eb="29">
      <t>ニホン</t>
    </rPh>
    <phoneticPr fontId="3"/>
  </si>
  <si>
    <t>けいしょういんまさひめ</t>
    <phoneticPr fontId="3"/>
  </si>
  <si>
    <t>その心、夫が為に</t>
    <rPh sb="2" eb="3">
      <t>ココロ</t>
    </rPh>
    <rPh sb="4" eb="5">
      <t>オット</t>
    </rPh>
    <rPh sb="6" eb="7">
      <t>タメ</t>
    </rPh>
    <phoneticPr fontId="3"/>
  </si>
  <si>
    <t>なかうらじゅりあん</t>
    <phoneticPr fontId="3"/>
  </si>
  <si>
    <t>ローマに赴く若き使節たち</t>
    <rPh sb="4" eb="5">
      <t>オモム</t>
    </rPh>
    <rPh sb="6" eb="7">
      <t>ワカ</t>
    </rPh>
    <rPh sb="8" eb="10">
      <t>シセツ</t>
    </rPh>
    <phoneticPr fontId="3"/>
  </si>
  <si>
    <t>タイプ偉人・妖怪・名物の防40%UP　/　所属が【東日本】と、それに属する地方・県、および【全国】の攻30%DOWN</t>
    <rPh sb="3" eb="5">
      <t>イジン</t>
    </rPh>
    <rPh sb="6" eb="8">
      <t>ヨウカイ</t>
    </rPh>
    <rPh sb="9" eb="11">
      <t>メイブツ</t>
    </rPh>
    <rPh sb="12" eb="13">
      <t>ボウ</t>
    </rPh>
    <phoneticPr fontId="3"/>
  </si>
  <si>
    <t>ほっかいどういくらちゃん</t>
    <phoneticPr fontId="3"/>
  </si>
  <si>
    <t>虹色に輝く秋の味覚</t>
    <rPh sb="0" eb="2">
      <t>ニジイロ</t>
    </rPh>
    <rPh sb="3" eb="4">
      <t>カガヤ</t>
    </rPh>
    <rPh sb="5" eb="6">
      <t>アキ</t>
    </rPh>
    <rPh sb="7" eb="9">
      <t>ミカク</t>
    </rPh>
    <phoneticPr fontId="3"/>
  </si>
  <si>
    <t>いっぽんだたら</t>
    <phoneticPr fontId="3"/>
  </si>
  <si>
    <t>直立する浮動の伝説</t>
    <rPh sb="0" eb="2">
      <t>チョクリツ</t>
    </rPh>
    <rPh sb="4" eb="6">
      <t>フドウ</t>
    </rPh>
    <rPh sb="7" eb="9">
      <t>デンセツ</t>
    </rPh>
    <phoneticPr fontId="3"/>
  </si>
  <si>
    <t>しらかば</t>
    <phoneticPr fontId="3"/>
  </si>
  <si>
    <t>滴り溢れる生命の雫</t>
    <phoneticPr fontId="3"/>
  </si>
  <si>
    <t>おとごさひめ</t>
    <phoneticPr fontId="3"/>
  </si>
  <si>
    <t>小さな拳に握りし生命</t>
    <phoneticPr fontId="3"/>
  </si>
  <si>
    <t>いずみきょうか</t>
    <phoneticPr fontId="3"/>
  </si>
  <si>
    <t>はてな夢かいいや現実だ</t>
    <rPh sb="3" eb="4">
      <t>ユメ</t>
    </rPh>
    <rPh sb="8" eb="10">
      <t>ゲンジツ</t>
    </rPh>
    <phoneticPr fontId="3"/>
  </si>
  <si>
    <t>いまいずみみよひめ</t>
    <phoneticPr fontId="3"/>
  </si>
  <si>
    <t>勇敢女傑の大薙刀</t>
    <rPh sb="0" eb="2">
      <t>ユウカン</t>
    </rPh>
    <rPh sb="2" eb="4">
      <t>ジョケツ</t>
    </rPh>
    <rPh sb="5" eb="6">
      <t>オオ</t>
    </rPh>
    <rPh sb="6" eb="8">
      <t>ナギナタ</t>
    </rPh>
    <phoneticPr fontId="3"/>
  </si>
  <si>
    <t>タイプ伝承・武人・姫の防25%UP　/　所属が【東日本】と、それに属する地方・県、および【全国】の攻40%DOWN</t>
    <rPh sb="3" eb="5">
      <t>デンショウ</t>
    </rPh>
    <rPh sb="6" eb="8">
      <t>ブジン</t>
    </rPh>
    <rPh sb="9" eb="10">
      <t>ヒメ</t>
    </rPh>
    <rPh sb="11" eb="12">
      <t>ボウ</t>
    </rPh>
    <rPh sb="20" eb="22">
      <t>ショゾク</t>
    </rPh>
    <rPh sb="24" eb="25">
      <t>ヒガシ</t>
    </rPh>
    <rPh sb="25" eb="27">
      <t>ニホン</t>
    </rPh>
    <rPh sb="33" eb="34">
      <t>ゾク</t>
    </rPh>
    <rPh sb="36" eb="38">
      <t>チホウ</t>
    </rPh>
    <rPh sb="39" eb="40">
      <t>ケン</t>
    </rPh>
    <rPh sb="45" eb="47">
      <t>ゼンコク</t>
    </rPh>
    <rPh sb="49" eb="50">
      <t>コウ</t>
    </rPh>
    <phoneticPr fontId="3"/>
  </si>
  <si>
    <t>とのさまずし</t>
    <phoneticPr fontId="3"/>
  </si>
  <si>
    <t>殿様の如き豪奢な寿司</t>
    <phoneticPr fontId="3"/>
  </si>
  <si>
    <t>日本女形の開山</t>
    <phoneticPr fontId="3"/>
  </si>
  <si>
    <t>しょだいよしざわあやめ</t>
    <phoneticPr fontId="3"/>
  </si>
  <si>
    <t>はたのかわかつ</t>
    <phoneticPr fontId="3"/>
  </si>
  <si>
    <t>常世神の追討神童</t>
    <phoneticPr fontId="3"/>
  </si>
  <si>
    <t>ごりんのしょ</t>
    <phoneticPr fontId="3"/>
  </si>
  <si>
    <t>古来よりの啓蒙書</t>
    <phoneticPr fontId="3"/>
  </si>
  <si>
    <t>おおさかじょう</t>
    <phoneticPr fontId="3"/>
  </si>
  <si>
    <t>難攻不落の太閤城</t>
    <phoneticPr fontId="3"/>
  </si>
  <si>
    <t>外堀を埋めた泡沫の和睦</t>
    <phoneticPr fontId="3"/>
  </si>
  <si>
    <t>てんかとういつとくがわいえやす</t>
    <phoneticPr fontId="3"/>
  </si>
  <si>
    <t>すいけいにいじまやえ</t>
    <phoneticPr fontId="3"/>
  </si>
  <si>
    <t>砲術使いの休日</t>
    <phoneticPr fontId="3"/>
  </si>
  <si>
    <t>とやまぶらっく</t>
    <phoneticPr fontId="3"/>
  </si>
  <si>
    <t>味と色濃き塩分補給</t>
    <phoneticPr fontId="3"/>
  </si>
  <si>
    <t>けいしょういん</t>
    <phoneticPr fontId="3"/>
  </si>
  <si>
    <t>将軍と悪法の生みの親</t>
    <phoneticPr fontId="3"/>
  </si>
  <si>
    <t>2017/05龍神杯</t>
    <rPh sb="7" eb="9">
      <t>リュウジン</t>
    </rPh>
    <rPh sb="9" eb="10">
      <t>ハイ</t>
    </rPh>
    <phoneticPr fontId="3"/>
  </si>
  <si>
    <t>2017/06龍神杯</t>
    <rPh sb="7" eb="9">
      <t>リュウジン</t>
    </rPh>
    <rPh sb="9" eb="10">
      <t>ハイ</t>
    </rPh>
    <phoneticPr fontId="3"/>
  </si>
  <si>
    <t>三好学</t>
    <phoneticPr fontId="3"/>
  </si>
  <si>
    <t>近代日本植物学の礎</t>
    <phoneticPr fontId="3"/>
  </si>
  <si>
    <t>みよしまなぶ</t>
    <phoneticPr fontId="3"/>
  </si>
  <si>
    <t>2017/04龍神杯</t>
    <rPh sb="7" eb="9">
      <t>リュウジン</t>
    </rPh>
    <rPh sb="9" eb="10">
      <t>ハイ</t>
    </rPh>
    <phoneticPr fontId="3"/>
  </si>
  <si>
    <t>2017/03龍神杯</t>
    <rPh sb="7" eb="9">
      <t>リュウジン</t>
    </rPh>
    <rPh sb="9" eb="10">
      <t>ハイ</t>
    </rPh>
    <phoneticPr fontId="3"/>
  </si>
  <si>
    <t>2017/02龍神杯</t>
    <rPh sb="7" eb="9">
      <t>リュウジン</t>
    </rPh>
    <rPh sb="9" eb="10">
      <t>ハイ</t>
    </rPh>
    <phoneticPr fontId="3"/>
  </si>
  <si>
    <t>2017/01龍神杯</t>
    <rPh sb="7" eb="9">
      <t>リュウジン</t>
    </rPh>
    <rPh sb="9" eb="10">
      <t>ハイ</t>
    </rPh>
    <phoneticPr fontId="3"/>
  </si>
  <si>
    <t>2016/12龍神杯</t>
    <rPh sb="7" eb="9">
      <t>リュウジン</t>
    </rPh>
    <rPh sb="9" eb="10">
      <t>ハイ</t>
    </rPh>
    <phoneticPr fontId="3"/>
  </si>
  <si>
    <t>2016/12防衛戦</t>
    <rPh sb="7" eb="10">
      <t>ボウエイセン</t>
    </rPh>
    <phoneticPr fontId="3"/>
  </si>
  <si>
    <t>2016/11防衛戦</t>
    <rPh sb="7" eb="10">
      <t>ボウエイセン</t>
    </rPh>
    <phoneticPr fontId="3"/>
  </si>
  <si>
    <t>2016/10防衛戦</t>
    <rPh sb="7" eb="10">
      <t>ボウエイセン</t>
    </rPh>
    <phoneticPr fontId="3"/>
  </si>
  <si>
    <t>2016/11龍神杯</t>
    <rPh sb="7" eb="9">
      <t>リュウジン</t>
    </rPh>
    <rPh sb="9" eb="10">
      <t>ハイ</t>
    </rPh>
    <phoneticPr fontId="3"/>
  </si>
  <si>
    <t>2016/10龍神杯</t>
    <rPh sb="7" eb="9">
      <t>リュウジン</t>
    </rPh>
    <rPh sb="9" eb="10">
      <t>ハイ</t>
    </rPh>
    <phoneticPr fontId="3"/>
  </si>
  <si>
    <t>2016/08龍神杯</t>
    <rPh sb="7" eb="9">
      <t>リュウジン</t>
    </rPh>
    <rPh sb="9" eb="10">
      <t>ハイ</t>
    </rPh>
    <phoneticPr fontId="3"/>
  </si>
  <si>
    <t>2016/09龍神杯</t>
    <rPh sb="7" eb="9">
      <t>リュウジン</t>
    </rPh>
    <rPh sb="9" eb="10">
      <t>ハイ</t>
    </rPh>
    <phoneticPr fontId="3"/>
  </si>
  <si>
    <t>2016/09防衛戦</t>
    <rPh sb="7" eb="10">
      <t>ボウエイセン</t>
    </rPh>
    <phoneticPr fontId="3"/>
  </si>
  <si>
    <t>2016/07防衛戦</t>
    <rPh sb="7" eb="10">
      <t>ボウエイセン</t>
    </rPh>
    <phoneticPr fontId="3"/>
  </si>
  <si>
    <t>2016/07龍神杯</t>
    <rPh sb="7" eb="9">
      <t>リュウジン</t>
    </rPh>
    <rPh sb="9" eb="10">
      <t>ハイ</t>
    </rPh>
    <phoneticPr fontId="3"/>
  </si>
  <si>
    <t>2016/06龍神杯</t>
    <rPh sb="7" eb="9">
      <t>リュウジン</t>
    </rPh>
    <rPh sb="9" eb="10">
      <t>ハイ</t>
    </rPh>
    <phoneticPr fontId="3"/>
  </si>
  <si>
    <t>2016/06防衛戦</t>
    <rPh sb="7" eb="10">
      <t>ボウエイセン</t>
    </rPh>
    <phoneticPr fontId="3"/>
  </si>
  <si>
    <t>2017/05天下統一戦</t>
    <rPh sb="7" eb="9">
      <t>テンカ</t>
    </rPh>
    <rPh sb="9" eb="11">
      <t>トウイツ</t>
    </rPh>
    <rPh sb="11" eb="12">
      <t>セン</t>
    </rPh>
    <phoneticPr fontId="3"/>
  </si>
  <si>
    <t>2018/10/15 12:00～2018/12/15 11:59</t>
    <phoneticPr fontId="3"/>
  </si>
  <si>
    <t>2018/08/15 12:00～2018/10/15 11:59</t>
    <phoneticPr fontId="3"/>
  </si>
  <si>
    <t>2018/04/15 12:00～2018/06/15 11:59</t>
    <phoneticPr fontId="3"/>
  </si>
  <si>
    <t>2018/02/15 12:00～2018/04/15 11:59</t>
    <phoneticPr fontId="3"/>
  </si>
  <si>
    <t>2017/12/15 12:00～2018/02/15 11:59</t>
    <phoneticPr fontId="3"/>
  </si>
  <si>
    <t>2016/08天下統一戦</t>
    <rPh sb="7" eb="9">
      <t>テンカ</t>
    </rPh>
    <rPh sb="9" eb="11">
      <t>トウイツ</t>
    </rPh>
    <rPh sb="11" eb="12">
      <t>セン</t>
    </rPh>
    <phoneticPr fontId="3"/>
  </si>
  <si>
    <t>2017/10/15 12:00～2017/12/15 11:59</t>
    <phoneticPr fontId="3"/>
  </si>
  <si>
    <t>姫</t>
  </si>
  <si>
    <t>武人</t>
  </si>
  <si>
    <t>2017/04全国巡り</t>
    <rPh sb="7" eb="9">
      <t>ゼンコク</t>
    </rPh>
    <rPh sb="9" eb="10">
      <t>メグ</t>
    </rPh>
    <phoneticPr fontId="3"/>
  </si>
  <si>
    <t>2017/03全国巡り</t>
    <phoneticPr fontId="3"/>
  </si>
  <si>
    <t>2017/02天下統一戦</t>
    <rPh sb="7" eb="9">
      <t>テンカ</t>
    </rPh>
    <rPh sb="9" eb="11">
      <t>トウイツ</t>
    </rPh>
    <rPh sb="11" eb="12">
      <t>セン</t>
    </rPh>
    <phoneticPr fontId="3"/>
  </si>
  <si>
    <t>2017/01全国巡り</t>
    <phoneticPr fontId="3"/>
  </si>
  <si>
    <t>2017/06全国巡り</t>
    <rPh sb="7" eb="9">
      <t>ゼンコク</t>
    </rPh>
    <rPh sb="9" eb="10">
      <t>メグ</t>
    </rPh>
    <phoneticPr fontId="3"/>
  </si>
  <si>
    <t>かいこかいだんえんぎ</t>
    <phoneticPr fontId="3"/>
  </si>
  <si>
    <t>ひがしのかいだんえんぎ</t>
    <phoneticPr fontId="3"/>
  </si>
  <si>
    <t>にしのかいだんえんぎ</t>
    <phoneticPr fontId="3"/>
  </si>
  <si>
    <t>女心にも侠気これ極まれり</t>
  </si>
  <si>
    <t>タイプ【武人】の防80％UP　/　タイプ姫・伝承の防30％UP</t>
  </si>
  <si>
    <t>肌に染めし任侠道の覚悟</t>
  </si>
  <si>
    <t>タイプ【武人】の防30％UP　/　タイプ姫・伝承の防15％UP</t>
  </si>
  <si>
    <t>心に刻みし義侠の精神</t>
  </si>
  <si>
    <t>れつじつごくひめえんぎ</t>
  </si>
  <si>
    <t>ひがしのごくひめえんぎ</t>
  </si>
  <si>
    <t>にしのごくひめえんぎ</t>
  </si>
  <si>
    <t>住吉淵の白蛇</t>
    <phoneticPr fontId="3"/>
  </si>
  <si>
    <t>すみよしぶちのはくじゃ</t>
    <phoneticPr fontId="3"/>
  </si>
  <si>
    <t>水神たる白蛇の恵み</t>
    <phoneticPr fontId="3"/>
  </si>
  <si>
    <t>ひがしのとらいえんぎ</t>
  </si>
  <si>
    <t>にしのとらいえんぎ</t>
  </si>
  <si>
    <t>いほうとらいえんぎ</t>
  </si>
  <si>
    <t>山頂までの処方箋</t>
  </si>
  <si>
    <t>タイプ妖怪・名物の攻20％UP</t>
  </si>
  <si>
    <t>最高のおやつタイム</t>
  </si>
  <si>
    <t>郷里会遇</t>
  </si>
  <si>
    <t>タイプ偉人・妖怪・名物の攻40％UP　/　タイプ伝承・武人・姫の防40％DOWN</t>
  </si>
  <si>
    <t>なんぶはるまさ</t>
    <phoneticPr fontId="3"/>
  </si>
  <si>
    <t>勇猛たる北の巨人</t>
    <rPh sb="0" eb="2">
      <t>ユウモウ</t>
    </rPh>
    <rPh sb="4" eb="5">
      <t>キタ</t>
    </rPh>
    <rPh sb="6" eb="8">
      <t>キョジン</t>
    </rPh>
    <phoneticPr fontId="3"/>
  </si>
  <si>
    <t>あしかがしまひめ</t>
    <phoneticPr fontId="3"/>
  </si>
  <si>
    <t>月と桂の再興物語</t>
    <rPh sb="0" eb="1">
      <t>ツキ</t>
    </rPh>
    <rPh sb="2" eb="3">
      <t>カツラ</t>
    </rPh>
    <rPh sb="4" eb="6">
      <t>サイコウ</t>
    </rPh>
    <rPh sb="6" eb="8">
      <t>モノガタリ</t>
    </rPh>
    <phoneticPr fontId="3"/>
  </si>
  <si>
    <t>きゅうそ</t>
    <phoneticPr fontId="3"/>
  </si>
  <si>
    <t>歳月を重ねし古の鼠</t>
    <rPh sb="0" eb="2">
      <t>サイゲツ</t>
    </rPh>
    <rPh sb="3" eb="4">
      <t>カサ</t>
    </rPh>
    <rPh sb="6" eb="7">
      <t>イニシエ</t>
    </rPh>
    <rPh sb="8" eb="9">
      <t>ネズミ</t>
    </rPh>
    <phoneticPr fontId="3"/>
  </si>
  <si>
    <t>あんころもち</t>
    <phoneticPr fontId="3"/>
  </si>
  <si>
    <t>疲れを癒す甘いひととき</t>
    <rPh sb="0" eb="1">
      <t>ツカ</t>
    </rPh>
    <rPh sb="3" eb="4">
      <t>イヤ</t>
    </rPh>
    <rPh sb="5" eb="6">
      <t>アマ</t>
    </rPh>
    <phoneticPr fontId="3"/>
  </si>
  <si>
    <t>ひらがゆずる</t>
    <phoneticPr fontId="3"/>
  </si>
  <si>
    <t>その魂は波のまにまに</t>
    <rPh sb="2" eb="3">
      <t>タマシイ</t>
    </rPh>
    <rPh sb="4" eb="5">
      <t>ナミ</t>
    </rPh>
    <phoneticPr fontId="3"/>
  </si>
  <si>
    <t>きたはらはくしゅう</t>
    <phoneticPr fontId="3"/>
  </si>
  <si>
    <t>言の葉ひらり、あはれなりけり。</t>
    <rPh sb="0" eb="1">
      <t>コト</t>
    </rPh>
    <rPh sb="2" eb="3">
      <t>ハ</t>
    </rPh>
    <phoneticPr fontId="3"/>
  </si>
  <si>
    <t>風光明媚の風景</t>
    <phoneticPr fontId="3"/>
  </si>
  <si>
    <t>お花見とお月見で一杯！</t>
    <phoneticPr fontId="3"/>
  </si>
  <si>
    <t>五光の花札</t>
    <phoneticPr fontId="3"/>
  </si>
  <si>
    <t>2018/12/15 12:00～2019/02/15 11:59</t>
    <phoneticPr fontId="3"/>
  </si>
  <si>
    <t>2017/07防衛戦</t>
    <rPh sb="7" eb="10">
      <t>ボウエイセン</t>
    </rPh>
    <phoneticPr fontId="3"/>
  </si>
  <si>
    <t>2017/07龍神杯</t>
    <rPh sb="7" eb="9">
      <t>リュウジン</t>
    </rPh>
    <rPh sb="9" eb="10">
      <t>ハイ</t>
    </rPh>
    <phoneticPr fontId="3"/>
  </si>
  <si>
    <t>2017/07全国巡り</t>
    <rPh sb="7" eb="9">
      <t>ゼンコク</t>
    </rPh>
    <rPh sb="9" eb="10">
      <t>メグ</t>
    </rPh>
    <phoneticPr fontId="3"/>
  </si>
  <si>
    <t>オホーツクカレー</t>
    <phoneticPr fontId="3"/>
  </si>
  <si>
    <t>冴え渡る流氷とスパイス</t>
    <phoneticPr fontId="3"/>
  </si>
  <si>
    <t>三公闘戦之剣</t>
    <phoneticPr fontId="3"/>
  </si>
  <si>
    <t>太古より蘇りし皇位のレガリア</t>
    <phoneticPr fontId="3"/>
  </si>
  <si>
    <t>【マーチングバンド】ハッカちゃん</t>
    <phoneticPr fontId="3"/>
  </si>
  <si>
    <t>清涼感あふれる爽やかな主旋律</t>
    <phoneticPr fontId="3"/>
  </si>
  <si>
    <t>おほーつくかれー</t>
    <phoneticPr fontId="3"/>
  </si>
  <si>
    <t>まーちんぐばんどはっかちゃん</t>
    <phoneticPr fontId="3"/>
  </si>
  <si>
    <t>2017/08/15 12:00～2017/10/15 11:59</t>
    <phoneticPr fontId="3"/>
  </si>
  <si>
    <t>2017/06/15 12:00～2017/08/15 11:59</t>
    <phoneticPr fontId="3"/>
  </si>
  <si>
    <t>2017/04/15 12:00～2017/06/15 11:59</t>
    <phoneticPr fontId="3"/>
  </si>
  <si>
    <t>2017/02/15 12:00～2017/04/15 11:59</t>
    <phoneticPr fontId="3"/>
  </si>
  <si>
    <t>2016/12/15 12:00～2017/02/15 11:59</t>
    <phoneticPr fontId="3"/>
  </si>
  <si>
    <t>2016/10/15 12:00～2016/12/15 11:59</t>
    <phoneticPr fontId="3"/>
  </si>
  <si>
    <t>2016/12全国巡り</t>
    <phoneticPr fontId="3"/>
  </si>
  <si>
    <t>2016/07全国巡り</t>
    <rPh sb="7" eb="9">
      <t>ゼンコク</t>
    </rPh>
    <rPh sb="9" eb="10">
      <t>メグ</t>
    </rPh>
    <phoneticPr fontId="3"/>
  </si>
  <si>
    <t>2016/09全国巡り</t>
    <rPh sb="7" eb="9">
      <t>ゼンコク</t>
    </rPh>
    <rPh sb="9" eb="10">
      <t>メグ</t>
    </rPh>
    <phoneticPr fontId="3"/>
  </si>
  <si>
    <t>2016/06全国巡り</t>
    <rPh sb="7" eb="9">
      <t>ゼンコク</t>
    </rPh>
    <rPh sb="9" eb="10">
      <t>メグ</t>
    </rPh>
    <phoneticPr fontId="3"/>
  </si>
  <si>
    <t>2019/02/15 12:00～2019/04/15 11:59</t>
    <phoneticPr fontId="3"/>
  </si>
  <si>
    <t>十指に入る近代発明</t>
    <phoneticPr fontId="3"/>
  </si>
  <si>
    <t>タイプ偉人・妖怪・名物の防45％UP</t>
    <phoneticPr fontId="3"/>
  </si>
  <si>
    <t>2017/08防衛戦</t>
    <rPh sb="7" eb="10">
      <t>ボウエイセン</t>
    </rPh>
    <phoneticPr fontId="3"/>
  </si>
  <si>
    <t>2017/08龍神杯</t>
    <rPh sb="7" eb="9">
      <t>リュウジン</t>
    </rPh>
    <rPh sb="9" eb="10">
      <t>ハイ</t>
    </rPh>
    <phoneticPr fontId="3"/>
  </si>
  <si>
    <t>2017/08天下統一戦</t>
    <rPh sb="7" eb="9">
      <t>テンカ</t>
    </rPh>
    <rPh sb="9" eb="11">
      <t>トウイツ</t>
    </rPh>
    <rPh sb="11" eb="12">
      <t>セン</t>
    </rPh>
    <phoneticPr fontId="3"/>
  </si>
  <si>
    <t>秀峰美麗な伯耆富士</t>
    <phoneticPr fontId="3"/>
  </si>
  <si>
    <t>墓地に佇む稀代の貴婦人</t>
    <phoneticPr fontId="3"/>
  </si>
  <si>
    <t>偽りの電撃ジェリーフィッシュ</t>
    <phoneticPr fontId="3"/>
  </si>
  <si>
    <t>さんこうとうせんのけん</t>
    <phoneticPr fontId="3"/>
  </si>
  <si>
    <t>【阿久利黒】坂上田村麻呂</t>
    <phoneticPr fontId="3"/>
  </si>
  <si>
    <t>あくりぐろさかのうえのたむらまろ</t>
    <phoneticPr fontId="3"/>
  </si>
  <si>
    <t>駆け巡る運命共同体</t>
    <phoneticPr fontId="3"/>
  </si>
  <si>
    <t>にだいめしまづげんぞう</t>
    <phoneticPr fontId="3"/>
  </si>
  <si>
    <t>だいせん</t>
    <phoneticPr fontId="3"/>
  </si>
  <si>
    <t>きもだめしほらーこしょうしょう</t>
    <phoneticPr fontId="3"/>
  </si>
  <si>
    <t>かつおのえぼし</t>
    <phoneticPr fontId="3"/>
  </si>
  <si>
    <t>ひがしのぼさつえんぎ</t>
    <phoneticPr fontId="3"/>
  </si>
  <si>
    <t>導きの光</t>
    <phoneticPr fontId="3"/>
  </si>
  <si>
    <t>ぐぜぼさつえんぎ</t>
    <phoneticPr fontId="3"/>
  </si>
  <si>
    <t>見守られる大地</t>
    <phoneticPr fontId="3"/>
  </si>
  <si>
    <t>にしのぼさつえんぎ</t>
    <phoneticPr fontId="3"/>
  </si>
  <si>
    <t>慈愛の心</t>
    <phoneticPr fontId="3"/>
  </si>
  <si>
    <t>めいびぶがくえんぎ</t>
    <phoneticPr fontId="3"/>
  </si>
  <si>
    <t>ひがしのぶがくえんぎ</t>
    <phoneticPr fontId="3"/>
  </si>
  <si>
    <t>にしのぶがくえんぎ</t>
    <phoneticPr fontId="3"/>
  </si>
  <si>
    <t>異色の舞人</t>
    <phoneticPr fontId="3"/>
  </si>
  <si>
    <t>江戸文化の極致</t>
    <phoneticPr fontId="3"/>
  </si>
  <si>
    <t>伝統の誇り高き舞</t>
    <phoneticPr fontId="3"/>
  </si>
  <si>
    <t>ID</t>
    <phoneticPr fontId="3"/>
  </si>
  <si>
    <t>2019/04/15 12:00～2019/06/15 11:59</t>
    <phoneticPr fontId="3"/>
  </si>
  <si>
    <t>溢れる炎より出でし神</t>
    <phoneticPr fontId="3"/>
  </si>
  <si>
    <t>ほのすそりのみこと</t>
    <phoneticPr fontId="3"/>
  </si>
  <si>
    <t>ねこみみねね</t>
    <phoneticPr fontId="3"/>
  </si>
  <si>
    <t>奔放に振る舞う母性本能</t>
    <phoneticPr fontId="3"/>
  </si>
  <si>
    <t>あらびあんはばねろ</t>
    <phoneticPr fontId="3"/>
  </si>
  <si>
    <t>辛く痺れる舞姫の踊り</t>
    <phoneticPr fontId="3"/>
  </si>
  <si>
    <t>おさないかおる</t>
    <phoneticPr fontId="3"/>
  </si>
  <si>
    <t>日本近代演劇の開拓者</t>
    <phoneticPr fontId="3"/>
  </si>
  <si>
    <t>2017/09防衛戦</t>
    <rPh sb="7" eb="10">
      <t>ボウエイセン</t>
    </rPh>
    <phoneticPr fontId="3"/>
  </si>
  <si>
    <t>2017/09龍神杯</t>
    <rPh sb="7" eb="9">
      <t>リュウジン</t>
    </rPh>
    <rPh sb="9" eb="10">
      <t>ハイ</t>
    </rPh>
    <phoneticPr fontId="3"/>
  </si>
  <si>
    <t>2017/09全国巡り</t>
    <rPh sb="7" eb="9">
      <t>ゼンコク</t>
    </rPh>
    <rPh sb="9" eb="10">
      <t>メグ</t>
    </rPh>
    <phoneticPr fontId="3"/>
  </si>
  <si>
    <t>東日本</t>
    <rPh sb="0" eb="1">
      <t>ヒガシ</t>
    </rPh>
    <rPh sb="1" eb="3">
      <t>ニホン</t>
    </rPh>
    <phoneticPr fontId="1"/>
  </si>
  <si>
    <t>ひがしのぶそうえんぎ</t>
  </si>
  <si>
    <t>西日本</t>
    <rPh sb="0" eb="1">
      <t>ニシ</t>
    </rPh>
    <rPh sb="1" eb="3">
      <t>ニホン</t>
    </rPh>
    <phoneticPr fontId="1"/>
  </si>
  <si>
    <t>にしのぶそうえんぎ</t>
  </si>
  <si>
    <t>全国</t>
    <rPh sb="0" eb="2">
      <t>ゼンコク</t>
    </rPh>
    <phoneticPr fontId="1"/>
  </si>
  <si>
    <t>れんげきぶそうえんぎ</t>
  </si>
  <si>
    <t>火花散る両雄の戦い</t>
  </si>
  <si>
    <t>タイプ姫・伝承の攻15％UP</t>
  </si>
  <si>
    <t>両雄はあくなき心で武芸に励む</t>
  </si>
  <si>
    <t>猛き四雄の豪快なる演舞</t>
  </si>
  <si>
    <t>タイプ姫・伝承の攻25％UP　/　タイプ【武人】の攻10％UP</t>
  </si>
  <si>
    <t>たたりもっけ</t>
    <phoneticPr fontId="3"/>
  </si>
  <si>
    <t>おやゆびひめ</t>
    <phoneticPr fontId="3"/>
  </si>
  <si>
    <t>おこごのつぼね</t>
    <phoneticPr fontId="3"/>
  </si>
  <si>
    <t>なのはな</t>
    <phoneticPr fontId="3"/>
  </si>
  <si>
    <t>あじさいきょうごくいちこ</t>
    <phoneticPr fontId="3"/>
  </si>
  <si>
    <t>えうてるぺー</t>
    <phoneticPr fontId="3"/>
  </si>
  <si>
    <t>迷い家の子供</t>
    <rPh sb="0" eb="1">
      <t>マヨ</t>
    </rPh>
    <rPh sb="2" eb="3">
      <t>イエ</t>
    </rPh>
    <rPh sb="4" eb="6">
      <t>コドモ</t>
    </rPh>
    <phoneticPr fontId="3"/>
  </si>
  <si>
    <t>タイプ偉人・名物の防40%UP　/　所属が【北海道・東北】とそれに属する県、および【全国】【東日本】の防30%UP</t>
    <rPh sb="3" eb="5">
      <t>イジン</t>
    </rPh>
    <rPh sb="6" eb="8">
      <t>メイブツ</t>
    </rPh>
    <rPh sb="9" eb="10">
      <t>ボウ</t>
    </rPh>
    <rPh sb="51" eb="52">
      <t>ボウ</t>
    </rPh>
    <phoneticPr fontId="3"/>
  </si>
  <si>
    <t>小さな姫の大冒険！</t>
    <rPh sb="0" eb="1">
      <t>チイ</t>
    </rPh>
    <rPh sb="3" eb="4">
      <t>ヒメ</t>
    </rPh>
    <rPh sb="5" eb="8">
      <t>ダイボウケン</t>
    </rPh>
    <phoneticPr fontId="3"/>
  </si>
  <si>
    <t>タイプ武人・姫の攻40％UP　/　所属が【関東】とそれに属する県、および【全国】【東日本】の攻30％UP</t>
    <rPh sb="8" eb="9">
      <t>コウ</t>
    </rPh>
    <phoneticPr fontId="3"/>
  </si>
  <si>
    <t>孜孜精勤</t>
    <rPh sb="0" eb="2">
      <t>シシ</t>
    </rPh>
    <rPh sb="2" eb="3">
      <t>セイ</t>
    </rPh>
    <rPh sb="3" eb="4">
      <t>キン</t>
    </rPh>
    <phoneticPr fontId="3"/>
  </si>
  <si>
    <t>タイプ武人・伝承の攻40％UP　/　所属が【中部】とそれに属する県、および【全国】【東日本】の攻30％UP</t>
    <rPh sb="3" eb="5">
      <t>ブジン</t>
    </rPh>
    <rPh sb="6" eb="8">
      <t>デンショウ</t>
    </rPh>
    <rPh sb="47" eb="48">
      <t>コウ</t>
    </rPh>
    <phoneticPr fontId="3"/>
  </si>
  <si>
    <t>春を呼ぶ笛</t>
    <rPh sb="0" eb="1">
      <t>ハル</t>
    </rPh>
    <rPh sb="2" eb="3">
      <t>ヨ</t>
    </rPh>
    <rPh sb="4" eb="5">
      <t>フエ</t>
    </rPh>
    <phoneticPr fontId="3"/>
  </si>
  <si>
    <t>タイプ偉人・妖怪の攻40％UP　/　所属が【近畿】とそれに属する県、および【全国】【西日本】の攻30％UP</t>
    <rPh sb="3" eb="5">
      <t>イジン</t>
    </rPh>
    <rPh sb="6" eb="8">
      <t>ヨウカイ</t>
    </rPh>
    <rPh sb="9" eb="10">
      <t>コウ</t>
    </rPh>
    <rPh sb="47" eb="48">
      <t>コウ</t>
    </rPh>
    <phoneticPr fontId="3"/>
  </si>
  <si>
    <t>紫陽花雨情</t>
    <rPh sb="0" eb="3">
      <t>アジサイ</t>
    </rPh>
    <rPh sb="3" eb="5">
      <t>ウジョウ</t>
    </rPh>
    <phoneticPr fontId="3"/>
  </si>
  <si>
    <t>タイプ神秘・飲食の防40％UP　/　所属が【中国・四国】とそれに属する県、および【全国】【西日本】の防30％UP</t>
    <rPh sb="3" eb="5">
      <t>シンピ</t>
    </rPh>
    <rPh sb="6" eb="8">
      <t>インショク</t>
    </rPh>
    <phoneticPr fontId="3"/>
  </si>
  <si>
    <t>幸福のメロディ</t>
    <rPh sb="0" eb="2">
      <t>コウフク</t>
    </rPh>
    <phoneticPr fontId="3"/>
  </si>
  <si>
    <t>タイプ知性派・飲食の防40％UP　/　所属が【九州・沖縄】とそれに属する県、および【全国】【西日本】の防30％UP</t>
    <rPh sb="3" eb="5">
      <t>チセイ</t>
    </rPh>
    <rPh sb="5" eb="6">
      <t>ハ</t>
    </rPh>
    <rPh sb="7" eb="9">
      <t>インショク</t>
    </rPh>
    <rPh sb="10" eb="11">
      <t>ボウ</t>
    </rPh>
    <rPh sb="51" eb="52">
      <t>ボウ</t>
    </rPh>
    <phoneticPr fontId="3"/>
  </si>
  <si>
    <t>2017/10防衛戦</t>
    <rPh sb="7" eb="10">
      <t>ボウエイセン</t>
    </rPh>
    <phoneticPr fontId="3"/>
  </si>
  <si>
    <t>2017/10龍神杯</t>
    <rPh sb="7" eb="9">
      <t>リュウジン</t>
    </rPh>
    <rPh sb="9" eb="10">
      <t>ハイ</t>
    </rPh>
    <phoneticPr fontId="3"/>
  </si>
  <si>
    <t>2017/10全国巡り</t>
    <rPh sb="7" eb="9">
      <t>ゼンコク</t>
    </rPh>
    <rPh sb="9" eb="10">
      <t>メグ</t>
    </rPh>
    <phoneticPr fontId="3"/>
  </si>
  <si>
    <t>2019/06/15 12:00～2019/08/15 11:59</t>
    <phoneticPr fontId="3"/>
  </si>
  <si>
    <t>うえすぎじんじゃうえすぎけんしん</t>
    <phoneticPr fontId="3"/>
  </si>
  <si>
    <t>一期の栄華、受け継がれたる信仰</t>
    <phoneticPr fontId="3"/>
  </si>
  <si>
    <t>かにめしべんとうちゃん</t>
    <phoneticPr fontId="3"/>
  </si>
  <si>
    <t>北海の幸を詰めた逸品</t>
    <phoneticPr fontId="3"/>
  </si>
  <si>
    <t>しょうぎはくぞうす</t>
    <phoneticPr fontId="3"/>
  </si>
  <si>
    <t>永久に眺めし王の生き様</t>
    <phoneticPr fontId="3"/>
  </si>
  <si>
    <t>しょだいにしかわせんぞう</t>
    <phoneticPr fontId="3"/>
  </si>
  <si>
    <t>悠久の歴史をもつ仙の舞</t>
    <phoneticPr fontId="3"/>
  </si>
  <si>
    <t>読み方</t>
    <rPh sb="0" eb="1">
      <t>ヨ</t>
    </rPh>
    <rPh sb="2" eb="3">
      <t>カタ</t>
    </rPh>
    <phoneticPr fontId="3"/>
  </si>
  <si>
    <t>読み方</t>
    <phoneticPr fontId="3"/>
  </si>
  <si>
    <t>リリース</t>
    <phoneticPr fontId="3"/>
  </si>
  <si>
    <t>2017/10サイコロ</t>
    <phoneticPr fontId="3"/>
  </si>
  <si>
    <t>2017/09サイコロ</t>
    <phoneticPr fontId="3"/>
  </si>
  <si>
    <t>2017/08サイコロ</t>
    <phoneticPr fontId="3"/>
  </si>
  <si>
    <t>2017/07サイコロ</t>
    <phoneticPr fontId="3"/>
  </si>
  <si>
    <t>2017/06サイコロ</t>
    <phoneticPr fontId="3"/>
  </si>
  <si>
    <t>2017/05サイコロ</t>
    <phoneticPr fontId="3"/>
  </si>
  <si>
    <t>2017/04サイコロ</t>
    <phoneticPr fontId="3"/>
  </si>
  <si>
    <t>2017/03サイコロ</t>
    <phoneticPr fontId="3"/>
  </si>
  <si>
    <t>2017/02サイコロ</t>
    <phoneticPr fontId="3"/>
  </si>
  <si>
    <t>2017/01サイコロ</t>
    <phoneticPr fontId="3"/>
  </si>
  <si>
    <t>2016/12サイコロ</t>
    <phoneticPr fontId="3"/>
  </si>
  <si>
    <t>2016/11サイコロ</t>
    <phoneticPr fontId="3"/>
  </si>
  <si>
    <t>2016/10サイコロ</t>
    <phoneticPr fontId="3"/>
  </si>
  <si>
    <t>2016/09サイコロ</t>
    <phoneticPr fontId="3"/>
  </si>
  <si>
    <t>2016/08サイコロ</t>
    <phoneticPr fontId="3"/>
  </si>
  <si>
    <t>2016/07サイコロ</t>
    <phoneticPr fontId="3"/>
  </si>
  <si>
    <t>2016/06サイコロ</t>
    <phoneticPr fontId="3"/>
  </si>
  <si>
    <t>MAX攻</t>
    <rPh sb="3" eb="4">
      <t>コウ</t>
    </rPh>
    <phoneticPr fontId="3"/>
  </si>
  <si>
    <t>MAX防</t>
    <rPh sb="3" eb="4">
      <t>ボウ</t>
    </rPh>
    <phoneticPr fontId="3"/>
  </si>
  <si>
    <t>2019/08/15 12:00～2019/10/15 11:59</t>
    <phoneticPr fontId="3"/>
  </si>
  <si>
    <t>2017/11防衛戦</t>
    <rPh sb="7" eb="10">
      <t>ボウエイセン</t>
    </rPh>
    <phoneticPr fontId="3"/>
  </si>
  <si>
    <t>2017/11龍神杯</t>
    <rPh sb="7" eb="9">
      <t>リュウジン</t>
    </rPh>
    <rPh sb="9" eb="10">
      <t>ハイ</t>
    </rPh>
    <phoneticPr fontId="3"/>
  </si>
  <si>
    <t>2017/11サイコロ</t>
    <phoneticPr fontId="3"/>
  </si>
  <si>
    <t>2017/11天下統一戦</t>
    <rPh sb="7" eb="9">
      <t>テンカ</t>
    </rPh>
    <rPh sb="9" eb="11">
      <t>トウイツ</t>
    </rPh>
    <rPh sb="11" eb="12">
      <t>セン</t>
    </rPh>
    <phoneticPr fontId="3"/>
  </si>
  <si>
    <t>通例を破壊せし女医の開拓者</t>
    <phoneticPr fontId="3"/>
  </si>
  <si>
    <t>いくさわくの</t>
    <phoneticPr fontId="3"/>
  </si>
  <si>
    <t>乾いた大地を駆け回る脚</t>
    <phoneticPr fontId="3"/>
  </si>
  <si>
    <t>さーばるきゃっと</t>
    <phoneticPr fontId="3"/>
  </si>
  <si>
    <t>月に想い、傾ける杯</t>
    <phoneticPr fontId="3"/>
  </si>
  <si>
    <t>よいごこちめいげつひめ</t>
    <phoneticPr fontId="3"/>
  </si>
  <si>
    <t>一度限りの花を咲かせて</t>
    <phoneticPr fontId="3"/>
  </si>
  <si>
    <t>あおのりゅうぜつらん</t>
    <phoneticPr fontId="3"/>
  </si>
  <si>
    <t>ねこきしいるろす</t>
    <phoneticPr fontId="3"/>
  </si>
  <si>
    <t>猫騎士参上！</t>
    <rPh sb="0" eb="1">
      <t>ネコ</t>
    </rPh>
    <rPh sb="1" eb="3">
      <t>キシ</t>
    </rPh>
    <rPh sb="3" eb="5">
      <t>サンジョウ</t>
    </rPh>
    <phoneticPr fontId="3"/>
  </si>
  <si>
    <t>九頭龍神水</t>
    <rPh sb="0" eb="2">
      <t>クズ</t>
    </rPh>
    <rPh sb="2" eb="3">
      <t>リュウ</t>
    </rPh>
    <rPh sb="3" eb="4">
      <t>カミ</t>
    </rPh>
    <rPh sb="4" eb="5">
      <t>ミズ</t>
    </rPh>
    <phoneticPr fontId="3"/>
  </si>
  <si>
    <t>タイプ知性派・飲食の防40％UP　/　所属が【関東】とそれに属する県、および【全国】【東日本】の防30％UP</t>
    <rPh sb="3" eb="5">
      <t>チセイ</t>
    </rPh>
    <rPh sb="5" eb="6">
      <t>ハ</t>
    </rPh>
    <phoneticPr fontId="3"/>
  </si>
  <si>
    <t>慈愛の卵</t>
    <rPh sb="0" eb="2">
      <t>ジアイ</t>
    </rPh>
    <rPh sb="3" eb="4">
      <t>タマゴ</t>
    </rPh>
    <phoneticPr fontId="3"/>
  </si>
  <si>
    <t>タイプ神秘・知性派の防40％UP　/　所属が【中部】とそれに属する県、および【全国】【東日本】の防30％UP</t>
    <rPh sb="3" eb="5">
      <t>シンピ</t>
    </rPh>
    <rPh sb="6" eb="8">
      <t>チセイ</t>
    </rPh>
    <rPh sb="8" eb="9">
      <t>ハ</t>
    </rPh>
    <phoneticPr fontId="3"/>
  </si>
  <si>
    <t>海に潜む伝説</t>
    <rPh sb="0" eb="1">
      <t>ウミ</t>
    </rPh>
    <rPh sb="2" eb="3">
      <t>ヒソ</t>
    </rPh>
    <rPh sb="4" eb="6">
      <t>デンセツ</t>
    </rPh>
    <phoneticPr fontId="3"/>
  </si>
  <si>
    <t>タイプ偉人・名物の攻40％UP　/　所属が【近畿】とそれに属する県、および【全国】【西日本】の攻30％UP</t>
    <rPh sb="3" eb="5">
      <t>イジン</t>
    </rPh>
    <rPh sb="6" eb="8">
      <t>メイブツ</t>
    </rPh>
    <rPh sb="9" eb="10">
      <t>コウ</t>
    </rPh>
    <rPh sb="47" eb="48">
      <t>コウ</t>
    </rPh>
    <phoneticPr fontId="3"/>
  </si>
  <si>
    <t>空翔ける英雄</t>
    <rPh sb="0" eb="1">
      <t>ソラ</t>
    </rPh>
    <rPh sb="1" eb="2">
      <t>カ</t>
    </rPh>
    <rPh sb="4" eb="6">
      <t>エイユウ</t>
    </rPh>
    <phoneticPr fontId="3"/>
  </si>
  <si>
    <t>タイプ姫・伝承の防40％UP　/　所属が【中国・四国】とそれに属する県、および【全国】【西日本】の防30％UP</t>
    <rPh sb="3" eb="4">
      <t>ヒメ</t>
    </rPh>
    <rPh sb="5" eb="7">
      <t>デンショウ</t>
    </rPh>
    <rPh sb="8" eb="9">
      <t>ボウ</t>
    </rPh>
    <rPh sb="49" eb="50">
      <t>ボウ</t>
    </rPh>
    <phoneticPr fontId="3"/>
  </si>
  <si>
    <t>命運操る魂の管理母</t>
    <rPh sb="0" eb="2">
      <t>メイウン</t>
    </rPh>
    <rPh sb="2" eb="3">
      <t>アヤツ</t>
    </rPh>
    <rPh sb="4" eb="5">
      <t>タマシイ</t>
    </rPh>
    <rPh sb="6" eb="8">
      <t>カンリ</t>
    </rPh>
    <rPh sb="8" eb="9">
      <t>ハハ</t>
    </rPh>
    <phoneticPr fontId="3"/>
  </si>
  <si>
    <t>タイプ武人・伝承の攻40％UP　/　所属が【九州・沖縄】とそれに属する県、および【全国】【西日本】の攻30％UP</t>
    <rPh sb="3" eb="5">
      <t>ブジン</t>
    </rPh>
    <rPh sb="6" eb="8">
      <t>デンショウ</t>
    </rPh>
    <phoneticPr fontId="3"/>
  </si>
  <si>
    <t>りゅうじんすい</t>
    <phoneticPr fontId="3"/>
  </si>
  <si>
    <t>えんじぇるうずらのたまごちゃん</t>
    <phoneticPr fontId="3"/>
  </si>
  <si>
    <t>すころぺんどら</t>
    <phoneticPr fontId="3"/>
  </si>
  <si>
    <t>ねいきっど</t>
    <phoneticPr fontId="3"/>
  </si>
  <si>
    <t>もんすたーなべしまけいぎんに</t>
    <phoneticPr fontId="3"/>
  </si>
  <si>
    <t>まーだーどーる</t>
    <phoneticPr fontId="3"/>
  </si>
  <si>
    <t>りんねのにゅんぺー</t>
    <phoneticPr fontId="3"/>
  </si>
  <si>
    <t>呪縛からの解放</t>
    <phoneticPr fontId="3"/>
  </si>
  <si>
    <t>魂の行方</t>
    <phoneticPr fontId="3"/>
  </si>
  <si>
    <t>2019/10/15 12:00～2019/12/15 11:59</t>
    <phoneticPr fontId="3"/>
  </si>
  <si>
    <t>凍てつく美貌に酔いしれて</t>
    <phoneticPr fontId="3"/>
  </si>
  <si>
    <t>ぎんふぶきゆきじょろう</t>
    <phoneticPr fontId="3"/>
  </si>
  <si>
    <t>民衆の信を集めし水雷の神</t>
    <phoneticPr fontId="3"/>
  </si>
  <si>
    <t>くわがみあぢすきたかひこね</t>
    <phoneticPr fontId="3"/>
  </si>
  <si>
    <t>希有な聖母のほろ酔うひと時</t>
    <phoneticPr fontId="3"/>
  </si>
  <si>
    <t>しゅらんぼうねんかいきたはらさとこ</t>
    <phoneticPr fontId="3"/>
  </si>
  <si>
    <t>くつきまぐだれな</t>
    <phoneticPr fontId="3"/>
  </si>
  <si>
    <t>薄幸の瞳が祈りし御心</t>
    <phoneticPr fontId="3"/>
  </si>
  <si>
    <t>2017/12防衛戦</t>
    <rPh sb="7" eb="10">
      <t>ボウエイセン</t>
    </rPh>
    <phoneticPr fontId="3"/>
  </si>
  <si>
    <t>2017/12龍神杯</t>
    <rPh sb="7" eb="9">
      <t>リュウジン</t>
    </rPh>
    <rPh sb="9" eb="10">
      <t>ハイ</t>
    </rPh>
    <phoneticPr fontId="3"/>
  </si>
  <si>
    <t>2017/12サイコロ</t>
    <phoneticPr fontId="3"/>
  </si>
  <si>
    <t>2017/12全国巡り</t>
    <rPh sb="7" eb="9">
      <t>ゼンコク</t>
    </rPh>
    <rPh sb="9" eb="10">
      <t>メグ</t>
    </rPh>
    <phoneticPr fontId="3"/>
  </si>
  <si>
    <t>ふりかむい</t>
    <phoneticPr fontId="3"/>
  </si>
  <si>
    <t>巨鳥の羽ばたき</t>
    <rPh sb="0" eb="1">
      <t>キョ</t>
    </rPh>
    <rPh sb="1" eb="2">
      <t>トリ</t>
    </rPh>
    <rPh sb="3" eb="4">
      <t>ハネ</t>
    </rPh>
    <phoneticPr fontId="3"/>
  </si>
  <si>
    <t>ガチャ終了分</t>
    <rPh sb="3" eb="5">
      <t>シュウリョウ</t>
    </rPh>
    <rPh sb="5" eb="6">
      <t>ブン</t>
    </rPh>
    <phoneticPr fontId="3"/>
  </si>
  <si>
    <t>ガチャ現行分</t>
    <rPh sb="3" eb="5">
      <t>ゲンコウ</t>
    </rPh>
    <rPh sb="5" eb="6">
      <t>ブン</t>
    </rPh>
    <phoneticPr fontId="3"/>
  </si>
  <si>
    <t>世代を継がれる秘伝出汁</t>
    <rPh sb="0" eb="2">
      <t>セダイ</t>
    </rPh>
    <rPh sb="3" eb="4">
      <t>ツ</t>
    </rPh>
    <rPh sb="7" eb="9">
      <t>ヒデン</t>
    </rPh>
    <rPh sb="9" eb="11">
      <t>ダシ</t>
    </rPh>
    <phoneticPr fontId="3"/>
  </si>
  <si>
    <t>あなごめし</t>
    <phoneticPr fontId="3"/>
  </si>
  <si>
    <t>さまいくるかむい</t>
    <phoneticPr fontId="3"/>
  </si>
  <si>
    <t>オオカミを従えし神</t>
    <phoneticPr fontId="3"/>
  </si>
  <si>
    <t>幸福もたらす木の人形</t>
    <phoneticPr fontId="3"/>
  </si>
  <si>
    <t>にぽぽにんぎょう</t>
    <phoneticPr fontId="3"/>
  </si>
  <si>
    <t>儚い世への嘆き</t>
    <phoneticPr fontId="3"/>
  </si>
  <si>
    <t>たまよひめ</t>
    <phoneticPr fontId="3"/>
  </si>
  <si>
    <t>大地が産んだ黄色い宝石</t>
    <phoneticPr fontId="3"/>
  </si>
  <si>
    <t>とうもろこしちゃん</t>
    <phoneticPr fontId="3"/>
  </si>
  <si>
    <t>霊を迎える忌籠もり</t>
    <phoneticPr fontId="3"/>
  </si>
  <si>
    <t>ひいみさま</t>
    <phoneticPr fontId="3"/>
  </si>
  <si>
    <t>地元の誇り水戸納豆</t>
    <phoneticPr fontId="3"/>
  </si>
  <si>
    <t>みとなっとうちゃん</t>
    <phoneticPr fontId="3"/>
  </si>
  <si>
    <t>門前に映える浦安の舞</t>
    <phoneticPr fontId="3"/>
  </si>
  <si>
    <t>かんだみょうじん</t>
    <phoneticPr fontId="3"/>
  </si>
  <si>
    <t>景観保全の処方箋</t>
    <phoneticPr fontId="3"/>
  </si>
  <si>
    <t>ぼーどわんはかせ</t>
    <phoneticPr fontId="3"/>
  </si>
  <si>
    <t>美しき巽御殿の女主</t>
    <phoneticPr fontId="3"/>
  </si>
  <si>
    <t>あさひめ</t>
    <phoneticPr fontId="3"/>
  </si>
  <si>
    <t>さるおにでんせつ</t>
    <phoneticPr fontId="3"/>
  </si>
  <si>
    <t>岩穴に潜みし暴れ猿</t>
    <phoneticPr fontId="3"/>
  </si>
  <si>
    <t>君臨する地鶏の王様</t>
    <phoneticPr fontId="3"/>
  </si>
  <si>
    <t>なごやこーちん</t>
    <phoneticPr fontId="3"/>
  </si>
  <si>
    <t>気力で圧迫せし剣の業</t>
    <phoneticPr fontId="3"/>
  </si>
  <si>
    <t>こんどうくらのすけ</t>
    <phoneticPr fontId="3"/>
  </si>
  <si>
    <t>天下を夢見た不遇大名</t>
    <phoneticPr fontId="3"/>
  </si>
  <si>
    <t>ろっかくよしかた</t>
    <phoneticPr fontId="3"/>
  </si>
  <si>
    <t>琵琶湖の肉食系主</t>
    <phoneticPr fontId="3"/>
  </si>
  <si>
    <t>びわこおおなまずちゃん</t>
    <phoneticPr fontId="3"/>
  </si>
  <si>
    <t>父に託された家督</t>
    <phoneticPr fontId="3"/>
  </si>
  <si>
    <t>とよとみひでより</t>
    <phoneticPr fontId="3"/>
  </si>
  <si>
    <t>短き灯に言の葉綴れば</t>
    <phoneticPr fontId="3"/>
  </si>
  <si>
    <t>なかはらちゅうや</t>
    <phoneticPr fontId="3"/>
  </si>
  <si>
    <t>海中で跳ねる光の粒</t>
    <phoneticPr fontId="3"/>
  </si>
  <si>
    <t>むらさ</t>
    <phoneticPr fontId="3"/>
  </si>
  <si>
    <t>不思議な千の神通力</t>
    <phoneticPr fontId="3"/>
  </si>
  <si>
    <t>めいとうきせんばまる</t>
    <phoneticPr fontId="3"/>
  </si>
  <si>
    <t>出雲大社の料理長</t>
    <phoneticPr fontId="3"/>
  </si>
  <si>
    <t>くしやたまのかみ</t>
    <phoneticPr fontId="3"/>
  </si>
  <si>
    <t>宇宙に繋がる美しい島</t>
    <phoneticPr fontId="3"/>
  </si>
  <si>
    <t>たねがしまうちゅうせんたー</t>
    <phoneticPr fontId="3"/>
  </si>
  <si>
    <t>私の虜になりなさい</t>
    <phoneticPr fontId="3"/>
  </si>
  <si>
    <t>じゅりぐわーまじむん</t>
    <phoneticPr fontId="3"/>
  </si>
  <si>
    <t>海を渡った少年使節</t>
    <phoneticPr fontId="3"/>
  </si>
  <si>
    <t>こんすたんてぃのどらーど</t>
    <phoneticPr fontId="3"/>
  </si>
  <si>
    <t>りゅうぞうじたかのぶ</t>
    <phoneticPr fontId="3"/>
  </si>
  <si>
    <t>関東</t>
    <phoneticPr fontId="3"/>
  </si>
  <si>
    <t>中部</t>
    <phoneticPr fontId="3"/>
  </si>
  <si>
    <t>機械仕掛けの金時計</t>
    <rPh sb="0" eb="2">
      <t>キカイ</t>
    </rPh>
    <rPh sb="2" eb="4">
      <t>ジカ</t>
    </rPh>
    <rPh sb="6" eb="7">
      <t>キン</t>
    </rPh>
    <rPh sb="7" eb="9">
      <t>ドケイ</t>
    </rPh>
    <phoneticPr fontId="3"/>
  </si>
  <si>
    <t>狂ったお茶会</t>
    <rPh sb="0" eb="1">
      <t>クル</t>
    </rPh>
    <rPh sb="4" eb="6">
      <t>チャカイ</t>
    </rPh>
    <phoneticPr fontId="3"/>
  </si>
  <si>
    <t>珠玉の美酒</t>
    <phoneticPr fontId="3"/>
  </si>
  <si>
    <t>天賦の弓馬術</t>
    <phoneticPr fontId="3"/>
  </si>
  <si>
    <t>変化の術</t>
    <phoneticPr fontId="3"/>
  </si>
  <si>
    <t>神々の女王</t>
    <phoneticPr fontId="3"/>
  </si>
  <si>
    <t>うぉっちめいかー</t>
    <phoneticPr fontId="3"/>
  </si>
  <si>
    <t>まっどはったー</t>
    <phoneticPr fontId="3"/>
  </si>
  <si>
    <t>けいえいのちょうじょめるろ</t>
    <phoneticPr fontId="3"/>
  </si>
  <si>
    <t>みなもとのよしみつ</t>
    <phoneticPr fontId="3"/>
  </si>
  <si>
    <t>おまつだいみょうじん</t>
    <phoneticPr fontId="3"/>
  </si>
  <si>
    <t>ゆーのー</t>
    <phoneticPr fontId="3"/>
  </si>
  <si>
    <t>2018/01防衛戦</t>
    <rPh sb="7" eb="10">
      <t>ボウエイセン</t>
    </rPh>
    <phoneticPr fontId="3"/>
  </si>
  <si>
    <t>2018/01龍神杯</t>
    <rPh sb="7" eb="9">
      <t>リュウジン</t>
    </rPh>
    <rPh sb="9" eb="10">
      <t>ハイ</t>
    </rPh>
    <phoneticPr fontId="3"/>
  </si>
  <si>
    <t>2018/01サイコロ</t>
    <phoneticPr fontId="3"/>
  </si>
  <si>
    <t>幸運を招く小さな足音</t>
    <phoneticPr fontId="3"/>
  </si>
  <si>
    <t>せんぷくばんらいざしきわらし</t>
    <phoneticPr fontId="3"/>
  </si>
  <si>
    <t>氷上を舞う文筆女史</t>
    <phoneticPr fontId="3"/>
  </si>
  <si>
    <t>うぃんたーすぽーつきむらあけぼの</t>
    <phoneticPr fontId="3"/>
  </si>
  <si>
    <t>３つ過ぎるまで、神に供えて</t>
    <phoneticPr fontId="3"/>
  </si>
  <si>
    <t>にらみたい</t>
    <phoneticPr fontId="3"/>
  </si>
  <si>
    <t>大地から蘇りし太古の生き様</t>
    <phoneticPr fontId="3"/>
  </si>
  <si>
    <t>とろいせき</t>
    <phoneticPr fontId="3"/>
  </si>
  <si>
    <t>2018/01四神戦</t>
    <rPh sb="7" eb="8">
      <t>ヨン</t>
    </rPh>
    <rPh sb="8" eb="9">
      <t>シン</t>
    </rPh>
    <rPh sb="9" eb="10">
      <t>セン</t>
    </rPh>
    <phoneticPr fontId="3"/>
  </si>
  <si>
    <t>ガチャ 2018/6/29</t>
    <phoneticPr fontId="3"/>
  </si>
  <si>
    <t>ガチャ 2018/7/3</t>
    <phoneticPr fontId="3"/>
  </si>
  <si>
    <t>ガチャ 2018/6/24, 7/25, 11/25, 2019/1/17</t>
    <phoneticPr fontId="3"/>
  </si>
  <si>
    <t>同盟戦 2019年10月,11月,12月</t>
    <rPh sb="8" eb="9">
      <t>ネン</t>
    </rPh>
    <rPh sb="11" eb="12">
      <t>ガツ</t>
    </rPh>
    <rPh sb="15" eb="16">
      <t>ガツ</t>
    </rPh>
    <phoneticPr fontId="3"/>
  </si>
  <si>
    <t>同盟戦 2019年7月, 8月, 9月</t>
    <rPh sb="8" eb="9">
      <t>ネン</t>
    </rPh>
    <rPh sb="10" eb="11">
      <t>ガツ</t>
    </rPh>
    <rPh sb="14" eb="15">
      <t>ガツ</t>
    </rPh>
    <rPh sb="18" eb="19">
      <t>ガツ</t>
    </rPh>
    <phoneticPr fontId="3"/>
  </si>
  <si>
    <t>同盟戦 2018年10月, 2019年1月, 4月, 5月, 6月</t>
    <phoneticPr fontId="3"/>
  </si>
  <si>
    <t>同盟戦 2018年11月, 2019年2月</t>
    <phoneticPr fontId="3"/>
  </si>
  <si>
    <t>同盟戦 2018年12月, 2019年3月</t>
    <phoneticPr fontId="3"/>
  </si>
  <si>
    <t>ガチャ 2017/10/1, 10/27, 11/10, 12/01, 12/27, 2018/1/20?, 2/20, 3/30, 4/11, 5/7, 7/17, 8/26, 11/18, 2019/1/12, 2/18</t>
    <phoneticPr fontId="3"/>
  </si>
  <si>
    <t>ガチャ 2017/9/18, 10/10, 11/1 ,12/10, 2018/1/9, 2/26, 3/11, 4/20, 5/16, 6/21, 7/21</t>
    <phoneticPr fontId="3"/>
  </si>
  <si>
    <t>ガチャ 2017/9/23, 10/19, 11/20, 2018/1/13, 2/11, 3/20, 6/26</t>
    <phoneticPr fontId="3"/>
  </si>
  <si>
    <t>ガチャ 2018/5/29</t>
    <phoneticPr fontId="3"/>
  </si>
  <si>
    <t>ガチャ現行分</t>
    <rPh sb="3" eb="5">
      <t>ゲンコウ</t>
    </rPh>
    <phoneticPr fontId="3"/>
  </si>
  <si>
    <t>タイプ神秘・知性派・飲食の攻40％UP　/　タイプ神秘・知性派・飲食の防10％DOWN</t>
  </si>
  <si>
    <t>タイプ伝承・武人・姫の攻80％DOWN　/　タイプ知性派・飲食の防25％UP</t>
  </si>
  <si>
    <t>タイプ【武人】の防85％UP　/　タイプ姫・伝承の防25％UP</t>
  </si>
  <si>
    <t>タイプ【武人】の攻75％UP　/　タイプ姫・伝承の攻30％UP</t>
  </si>
  <si>
    <t>タイプ偉人・妖怪・名物の攻80％DOWN　/　タイプ知性派・飲食の防25％UP</t>
  </si>
  <si>
    <t>ガチャ 2018/3/7, 4/2, 5/2, 6/7, 7/27, 8/12, 9/18, 10/18, 11/26, 12/12, 2019/1/26, 2/26, 3/30, 4/21, 5/17, 6/9, 7/24, 8/24, 9/13, 10/19, 2020/1/26</t>
    <phoneticPr fontId="3"/>
  </si>
  <si>
    <t>?</t>
    <phoneticPr fontId="3"/>
  </si>
  <si>
    <t>タイプ伝承・武人・飲食の攻50％UP　/　タイプ【姫】の攻25％UP</t>
  </si>
  <si>
    <t>タイプ神秘・飲食・名物の防50％UP　/　タイプ【知性派】の防25％UP</t>
    <rPh sb="3" eb="5">
      <t>シンピ</t>
    </rPh>
    <rPh sb="6" eb="8">
      <t>インショク</t>
    </rPh>
    <rPh sb="9" eb="11">
      <t>メイブツ</t>
    </rPh>
    <rPh sb="12" eb="13">
      <t>ボウ</t>
    </rPh>
    <rPh sb="25" eb="27">
      <t>チセイ</t>
    </rPh>
    <rPh sb="27" eb="28">
      <t>ハ</t>
    </rPh>
    <rPh sb="30" eb="31">
      <t>ボウ</t>
    </rPh>
    <phoneticPr fontId="3"/>
  </si>
  <si>
    <t>タイプ妖怪・知性派の防55％UP　/　タイプ偉人・名物の防40％UP</t>
    <rPh sb="3" eb="5">
      <t>ヨウカイ</t>
    </rPh>
    <rPh sb="6" eb="8">
      <t>チセイ</t>
    </rPh>
    <rPh sb="8" eb="9">
      <t>ハ</t>
    </rPh>
    <rPh sb="10" eb="11">
      <t>ボウ</t>
    </rPh>
    <rPh sb="22" eb="24">
      <t>イジン</t>
    </rPh>
    <rPh sb="25" eb="27">
      <t>メイブツ</t>
    </rPh>
    <rPh sb="28" eb="29">
      <t>ボウ</t>
    </rPh>
    <phoneticPr fontId="3"/>
  </si>
  <si>
    <t>タイプ伝承・武人・姫の攻30％UP　/　タイプ神秘・知性派・飲食の防15％DOWN</t>
  </si>
  <si>
    <t>タイプ偉人・神秘の攻55％UP　/　タイプ知性派・飲食の攻40％UP</t>
  </si>
  <si>
    <t>タイプ武人・姫の防10％UP　/　タイプ神秘・飲食の攻15％DOWN</t>
  </si>
  <si>
    <t>タイプ伝承・武人・姫の防15％UP　/　タイプ神秘・飲食・知性派・妖怪の攻25％DOWN</t>
  </si>
  <si>
    <t>タイプ偉人・名物の攻10％UP　/　タイプ【神秘】の防20％DOWN</t>
  </si>
  <si>
    <t>タイプ偉人・名物の攻20％UP　/　タイプ神秘・飲食の防100％DOWN</t>
  </si>
  <si>
    <t>タイプ妖怪・名物の攻30％DOWN　/　タイプ知性派・飲食の防10％UP</t>
  </si>
  <si>
    <t>タイプ偉人・妖怪の攻30％DOWN　/　タイプ知性派・飲食の防10％UP</t>
  </si>
  <si>
    <t>タイプ神秘・知性派の防30％DOWN　/　タイプ知性派・飲食の攻10％UP</t>
  </si>
  <si>
    <t>タイプ神秘・飲食の防30％DOWN　/　タイプ知性派・飲食の攻10％UP</t>
  </si>
  <si>
    <t>タイプ神秘・知性派・飲食の防80％DOWN　/　タイプ知性派・飲食の攻25％UP</t>
  </si>
  <si>
    <t>タイプ妖怪・名物の防60％UP　/　タイプ【偉人】の防15％UP</t>
    <rPh sb="3" eb="5">
      <t>ヨウカイ</t>
    </rPh>
    <rPh sb="6" eb="8">
      <t>メイブツ</t>
    </rPh>
    <rPh sb="9" eb="10">
      <t>ボウ</t>
    </rPh>
    <rPh sb="22" eb="24">
      <t>イジン</t>
    </rPh>
    <rPh sb="26" eb="27">
      <t>ボウ</t>
    </rPh>
    <phoneticPr fontId="3"/>
  </si>
  <si>
    <t>タイプ神秘・知性派・飲食の攻40%UP　/　タイプ偉人・妖怪・名物の防10%DOWN</t>
    <rPh sb="3" eb="5">
      <t>シンピ</t>
    </rPh>
    <rPh sb="6" eb="8">
      <t>チセイ</t>
    </rPh>
    <rPh sb="8" eb="9">
      <t>ハ</t>
    </rPh>
    <rPh sb="10" eb="12">
      <t>インショク</t>
    </rPh>
    <rPh sb="13" eb="14">
      <t>コウ</t>
    </rPh>
    <rPh sb="25" eb="27">
      <t>イジン</t>
    </rPh>
    <rPh sb="28" eb="30">
      <t>ヨウカイ</t>
    </rPh>
    <rPh sb="31" eb="33">
      <t>メイブツ</t>
    </rPh>
    <rPh sb="34" eb="35">
      <t>ボウ</t>
    </rPh>
    <phoneticPr fontId="3"/>
  </si>
  <si>
    <t>タイプ偉人・妖怪の攻20％UP　/　タイプ【名物】の攻12％UP</t>
  </si>
  <si>
    <t>タイプ偉人・妖怪の攻45％UP　/　タイプ【名物】の攻30％UP</t>
  </si>
  <si>
    <t>タイプ武人・姫の攻15％UP　/　タイプ神秘・知性派の防10％DOWN</t>
  </si>
  <si>
    <t>タイプ伝承・武人・姫の攻30％UP　/　タイプ神秘・飲食・知性派・妖怪の防10％DOWN</t>
  </si>
  <si>
    <t>タイプ姫・伝承の防25％UP　/　タイプ【武人】の防10％UP</t>
  </si>
  <si>
    <t>タイプ神秘・知性派・飲食の防10％UP　/　タイプ伝承・武人・姫の攻15％DOWN</t>
  </si>
  <si>
    <t>タイプ神秘・知性派・飲食の防25％UP　/　タイプ伝承・武人・姫の攻80％DOWN</t>
  </si>
  <si>
    <t>タイプ偉人・妖怪・名物の攻40％UP　/　所属が【西日本】と、それに属する地方・県、および【全国】の防40％DOWN</t>
  </si>
  <si>
    <t>タイプ神秘・知性派・飲食の攻40％UP　/　所属が【東日本】と、それに属する地方・県、および【全国】の防40％DOWN</t>
  </si>
  <si>
    <t>タイプ伝承・武人・姫の攻40％UP　/　所属が【西日本】と、それに属する地方・県、および【全国】の防30％DOWN</t>
  </si>
  <si>
    <t>タイプ偉人・妖怪・名物の攻40％UP　/　所属が【東日本】と、それに属する地方・県、および【全国】の防30％DOWN</t>
  </si>
  <si>
    <t>タイプ神秘・知性派・飲食の防35％UP　/　所属が【西日本】と、それに属する地方・県、および【全国】の攻30％DOWN</t>
  </si>
  <si>
    <t>タイプ偉人・妖怪・名物の防35％UP　/　所属が【東日本】と、それに属する地方・県、および【全国】の攻30％DOWN</t>
  </si>
  <si>
    <t>タイプ偉人・妖怪・名物の防35％UP　/　所属が【西日本】と、それに属する地方・県、および【全国】の攻30％DOWN</t>
  </si>
  <si>
    <t>タイプ伝承・武人・姫の防35％UP　/　所属が【東日本】と、それに属する地方・県、および【全国】の攻30％DOWN</t>
  </si>
  <si>
    <t>タイプ神秘・知性派・飲食の防25％UP　/　所属が【西日本】と、それに属する地方・県、および【全国】の攻40％DOWN</t>
  </si>
  <si>
    <t>タイプ偉人・妖怪・名物の防25％UP　/　所属が【西日本】と、それに属する地方・県、および【全国】の攻40％DOWN</t>
  </si>
  <si>
    <t>タイプ神秘・知性派・飲食の防25％UP　/　所属が【東日本】と、それに属する地方・県、および【全国】の攻40％DOWN</t>
  </si>
  <si>
    <t>タイプ偉人・妖怪・名物の防25％UP　/　所属が【東日本】と、それに属する地方・県、および【全国】の攻35％DOWN</t>
  </si>
  <si>
    <t>タイプ伝承・武人・姫の防25％UP　/　所属が【東日本】と、それに属する地方・県、および【全国】の攻35％DOWN</t>
  </si>
  <si>
    <t>タイプ伝承・武人・姫の防25％UP　/　所属が【西日本】と、それに属する地方・県、および【全国】の攻35％DOWN</t>
  </si>
  <si>
    <t>タイプ神秘・知性派・飲食の防25％UP　/　所属が【東日本】と、それに属する地方・県、および【全国】の攻35％DOWN</t>
  </si>
  <si>
    <t>タイプ神秘・知性派・飲食の防25％UP　/　所属が【西日本】と、それに属する地方・県、および【全国】の攻35％DOWN</t>
  </si>
  <si>
    <t>タイプ妖怪・名物の防40％UP　/　所属が【北海道・東北】とそれに属する県、および【全国】【東日本】の防30％UP</t>
  </si>
  <si>
    <t>タイプ武人・姫の防40％UP　/　所属が【関東】とそれに属する県、および【全国】【東日本】の防30％UP</t>
  </si>
  <si>
    <t>タイプ偉人・妖怪の攻40％UP　/　所属が【中部】とそれに属する県、および【全国】【東日本】の攻30％UP</t>
  </si>
  <si>
    <t>タイプ姫・伝承の攻40％UP　/　所属が【近畿】とそれに属する県、および【全国】【西日本】の攻30％UP</t>
  </si>
  <si>
    <t>タイプ知性派・飲食の攻40％UP　/　所属が【中国・四国】とそれに属する県、および【全国】【西日本】の攻30％UP</t>
  </si>
  <si>
    <t>タイプ神秘・飲食の防40％UP　/　所属が【九州・沖縄】とそれに属する県、および【全国】【西日本】の防30％UP</t>
  </si>
  <si>
    <t>タイプ偉人・妖怪の攻40%UP　/　所属が【北海道・東北】とそれに属する県、および【全国】【東日本】の攻30%UP</t>
  </si>
  <si>
    <t>タイプ神秘・飲食の防40％UP　/　所属が【関東】とそれに属する県、および【全国】【東日本】の防30％UP</t>
    <rPh sb="3" eb="5">
      <t>シンピ</t>
    </rPh>
    <rPh sb="6" eb="8">
      <t>インショク</t>
    </rPh>
    <phoneticPr fontId="3"/>
  </si>
  <si>
    <t>タイプ武人・姫の防40％UP　/　所属が【中部】とそれに属する県、および【全国】【東日本】の防30％UP</t>
    <rPh sb="3" eb="5">
      <t>ブジン</t>
    </rPh>
    <rPh sb="6" eb="7">
      <t>ヒメ</t>
    </rPh>
    <rPh sb="8" eb="9">
      <t>ボウ</t>
    </rPh>
    <rPh sb="46" eb="47">
      <t>ボウ</t>
    </rPh>
    <phoneticPr fontId="3"/>
  </si>
  <si>
    <t>タイプ姫・伝承の防40％UP　/　所属が【近畿】とそれに属する県、および【全国】【西日本】の防30％UP</t>
    <rPh sb="3" eb="4">
      <t>ヒメ</t>
    </rPh>
    <phoneticPr fontId="3"/>
  </si>
  <si>
    <t>タイプ妖怪・名物の攻40％UP　/　所属が【中国・四国】とそれに属する県、および【全国】【西日本】の攻30％UP</t>
    <rPh sb="3" eb="5">
      <t>ヨウカイ</t>
    </rPh>
    <rPh sb="6" eb="8">
      <t>メイブツ</t>
    </rPh>
    <rPh sb="9" eb="10">
      <t>コウ</t>
    </rPh>
    <rPh sb="22" eb="24">
      <t>チュウゴク</t>
    </rPh>
    <rPh sb="25" eb="27">
      <t>シコク</t>
    </rPh>
    <rPh sb="50" eb="51">
      <t>コウ</t>
    </rPh>
    <phoneticPr fontId="3"/>
  </si>
  <si>
    <t>タイプ偉人・妖怪の攻40％UP　/　所属が【九州・沖縄】とそれに属する県、および【全国】【西日本】の攻30％UP</t>
    <rPh sb="3" eb="5">
      <t>イジン</t>
    </rPh>
    <rPh sb="6" eb="8">
      <t>ヨウカイ</t>
    </rPh>
    <phoneticPr fontId="3"/>
  </si>
  <si>
    <t>タイプ姫・伝承の防40％UP　/　所属が【関東】とそれに属する県、および【全国】【東日本】の防30％UP</t>
  </si>
  <si>
    <t>タイプ妖怪・名物の攻40％UP　/　所属が【中部】とそれに属する県、および【全国】【東日本】の攻30％UP</t>
  </si>
  <si>
    <t>タイプ武人・伝承の防40％UP　/　所属が【近畿】とそれに属する県、および【全国】【西日本】の防30％UP</t>
  </si>
  <si>
    <t>タイプ知性派・飲食の防40％UP　/　所属が【中国・四国】とそれに属する県、および【全国】【西日本】の防30％UP</t>
    <rPh sb="10" eb="11">
      <t>ボウ</t>
    </rPh>
    <rPh sb="23" eb="25">
      <t>チュウゴク</t>
    </rPh>
    <rPh sb="26" eb="28">
      <t>シコク</t>
    </rPh>
    <rPh sb="51" eb="52">
      <t>ボウ</t>
    </rPh>
    <phoneticPr fontId="3"/>
  </si>
  <si>
    <t>タイプ神秘・知性派の攻40％UP　/　所属が【九州・沖縄】とそれに属する県、および【全国】【西日本】の攻30％UP</t>
  </si>
  <si>
    <t>タイプ武人・伝承の防40％UP　/　所属が【北海道・東北】とそれに属する県、および【全国】【東日本】の防30％UP</t>
    <rPh sb="22" eb="25">
      <t>ホッカイドウ</t>
    </rPh>
    <rPh sb="26" eb="28">
      <t>トウホク</t>
    </rPh>
    <rPh sb="46" eb="47">
      <t>ヒガシ</t>
    </rPh>
    <phoneticPr fontId="3"/>
  </si>
  <si>
    <t>タイプ妖怪・名物の攻40％UP　/　所属が【関東】とそれに属する県、および【全国】【東日本】の攻30％UP</t>
    <rPh sb="22" eb="24">
      <t>カントウ</t>
    </rPh>
    <phoneticPr fontId="3"/>
  </si>
  <si>
    <t>タイプ神秘・知性派の攻40％UP　/　所属が【中部】とそれに属する県、および【全国】【東日本】の攻30％UP</t>
    <rPh sb="23" eb="25">
      <t>チュウブ</t>
    </rPh>
    <rPh sb="43" eb="44">
      <t>ヒガシ</t>
    </rPh>
    <phoneticPr fontId="3"/>
  </si>
  <si>
    <t>タイプ知性派・飲食の防40％UP　/　所属が【近畿】とそれに属する県、および【全国】【西日本】の防30％UP</t>
    <rPh sb="10" eb="11">
      <t>ボウ</t>
    </rPh>
    <rPh sb="23" eb="25">
      <t>キンキ</t>
    </rPh>
    <rPh sb="48" eb="49">
      <t>ボウ</t>
    </rPh>
    <phoneticPr fontId="3"/>
  </si>
  <si>
    <t>タイプ偉人・妖怪の防40％UP　/　所属が【中国・四国】とそれに属する県、および【全国】【西日本】の防30％UP</t>
    <rPh sb="22" eb="24">
      <t>チュウゴク</t>
    </rPh>
    <rPh sb="25" eb="27">
      <t>シコク</t>
    </rPh>
    <rPh sb="45" eb="46">
      <t>ニシ</t>
    </rPh>
    <phoneticPr fontId="3"/>
  </si>
  <si>
    <t>タイプ武人・姫の攻40％UP　/　所属が【九州・沖縄】とそれに属する県、および【全国】【西日本】の攻30％UP</t>
    <rPh sb="21" eb="23">
      <t>キュウシュウ</t>
    </rPh>
    <rPh sb="24" eb="26">
      <t>オキナワ</t>
    </rPh>
    <rPh sb="44" eb="45">
      <t>ニシ</t>
    </rPh>
    <phoneticPr fontId="3"/>
  </si>
  <si>
    <t>タイプ神秘・飲食の攻40％UP　/　所属が【北海道・東北】とそれに属する県、および【全国】【東日本】の攻30％UP</t>
    <rPh sb="22" eb="25">
      <t>ホッカイドウ</t>
    </rPh>
    <rPh sb="26" eb="28">
      <t>トウホク</t>
    </rPh>
    <phoneticPr fontId="3"/>
  </si>
  <si>
    <t>タイプ偉人・妖怪の攻40％UP　/　所属が【関東】とそれに属する県、および【全国】【東日本】の攻30％UP</t>
    <rPh sb="9" eb="10">
      <t>コウ</t>
    </rPh>
    <rPh sb="47" eb="48">
      <t>コウ</t>
    </rPh>
    <phoneticPr fontId="3"/>
  </si>
  <si>
    <t>タイプ知性派・飲食の防40％UP　/　所属が【中部】とそれに属する県、および【全国】【東日本】の防30％UP</t>
    <rPh sb="10" eb="11">
      <t>ボウ</t>
    </rPh>
    <rPh sb="23" eb="25">
      <t>チュウブ</t>
    </rPh>
    <rPh sb="43" eb="44">
      <t>ヒガシ</t>
    </rPh>
    <rPh sb="48" eb="49">
      <t>ボウ</t>
    </rPh>
    <phoneticPr fontId="3"/>
  </si>
  <si>
    <t>タイプ武人・姫の防40％UP　/　所属が【近畿】とそれに属する県、および【全国】【西日本】の防30％UP</t>
    <rPh sb="8" eb="9">
      <t>ボウ</t>
    </rPh>
    <rPh sb="21" eb="23">
      <t>キンキ</t>
    </rPh>
    <rPh sb="41" eb="42">
      <t>ニシ</t>
    </rPh>
    <rPh sb="46" eb="47">
      <t>ボウ</t>
    </rPh>
    <phoneticPr fontId="3"/>
  </si>
  <si>
    <t>タイプ偉人・名物の攻40％UP　/　所属が【中国・四国】とそれに属する県、および【全国】【西日本】の攻30％UP</t>
    <rPh sb="9" eb="10">
      <t>コウ</t>
    </rPh>
    <rPh sb="22" eb="24">
      <t>チュウゴク</t>
    </rPh>
    <rPh sb="25" eb="27">
      <t>シコク</t>
    </rPh>
    <rPh sb="45" eb="46">
      <t>ニシ</t>
    </rPh>
    <rPh sb="50" eb="51">
      <t>コウ</t>
    </rPh>
    <phoneticPr fontId="3"/>
  </si>
  <si>
    <t>タイプ武人・伝承の防40％UP　/　所属が【九州・沖縄】とそれに属する県、および【全国】【西日本】の防30％UP</t>
    <rPh sb="22" eb="24">
      <t>キュウシュウ</t>
    </rPh>
    <rPh sb="25" eb="27">
      <t>オキナワ</t>
    </rPh>
    <phoneticPr fontId="3"/>
  </si>
  <si>
    <t>タイプ武人・姫の攻40％UP　/　所属が【北海道・東北】とそれに属する県、および【全国】【東日本】の攻30％UP</t>
  </si>
  <si>
    <t>タイプ偉人・妖怪の防40％UP　/　所属が【関東】とそれに属する県、および【全国】【東日本】の防30％UP</t>
  </si>
  <si>
    <t>タイプ神秘・飲食の攻40％UP　/　所属が【中部】とそれに属する県、および【全国】【東日本】の攻30％UP</t>
  </si>
  <si>
    <t>タイプ妖怪・名物の防40％UP　/　所属が【近畿】とそれに属する県、および【全国】【西日本】の防30％UP</t>
  </si>
  <si>
    <t>タイプ武人・伝承の防40％UP　/　所属が【中国・四国】とそれに属する県、および【全国】【西日本】の防30％UP</t>
  </si>
  <si>
    <t>タイプ知性派・飲食の攻40％UP　/　所属が【九州・沖縄】とそれに属する県、および【全国】【西日本】の攻30％UP</t>
  </si>
  <si>
    <t>タイプ姫・伝承の防40％UP　/　所属が【北海道・東北】とそれに属する県、および【全国】【東日本】の防30％UP</t>
  </si>
  <si>
    <t>タイプ武人・伝承の攻40％UP　/　所属が【関東】とそれに属する県、および【全国】【東日本】の攻30％UP</t>
  </si>
  <si>
    <t>タイプ偉人・名物の防40％UP　/　所属が【中部】とそれに属する県、および【全国】【東日本】の防30％UP</t>
  </si>
  <si>
    <t>タイプ神秘・知性派の攻40％UP　/　所属が【近畿】とそれに属する県、および【全国】【西日本】の攻30％UP</t>
  </si>
  <si>
    <t>タイプ神秘・飲食の攻40％UP　/　所属が【中国・四国】とそれに属する県、および【全国】【西日本】の攻30％UP</t>
  </si>
  <si>
    <t>タイプ妖怪・名物の防40％UP　/　所属が【九州・沖縄】とそれに属する県、および【全国】【西日本】の防30％UP</t>
  </si>
  <si>
    <t>タイプ神秘・知性派の防40％UP　/　所属が【北海道・東北】とそれに属する県、および【全国】【東日本】の防30％UP</t>
    <rPh sb="3" eb="5">
      <t>シンピ</t>
    </rPh>
    <rPh sb="6" eb="8">
      <t>チセイ</t>
    </rPh>
    <rPh sb="8" eb="9">
      <t>ハ</t>
    </rPh>
    <rPh sb="10" eb="11">
      <t>ボウ</t>
    </rPh>
    <rPh sb="23" eb="26">
      <t>ホッカイドウ</t>
    </rPh>
    <rPh sb="27" eb="29">
      <t>トウホク</t>
    </rPh>
    <rPh sb="52" eb="53">
      <t>ボウ</t>
    </rPh>
    <phoneticPr fontId="3"/>
  </si>
  <si>
    <t>タイプ知性派・飲食の攻40％UP　/　所属が【関東】とそれに属する県、および【全国】【東日本】の攻30％UP</t>
  </si>
  <si>
    <t>タイプ姫・伝承の防40％UP　/　所属が【中部】とそれに属する県、および【全国】【東日本】の防30％UP</t>
    <rPh sb="3" eb="4">
      <t>ヒメ</t>
    </rPh>
    <rPh sb="5" eb="7">
      <t>デンショウ</t>
    </rPh>
    <rPh sb="8" eb="9">
      <t>ボウ</t>
    </rPh>
    <rPh sb="21" eb="23">
      <t>チュウブ</t>
    </rPh>
    <rPh sb="46" eb="47">
      <t>ボウ</t>
    </rPh>
    <phoneticPr fontId="3"/>
  </si>
  <si>
    <t>タイプ神秘・飲食の防40％UP　/　所属が【近畿】とそれに属する県、および【全国】【西日本】の防30％UP</t>
  </si>
  <si>
    <t>タイプ武人・姫の攻40％UP　/　所属が【中国・四国】とそれに属する県、および【全国】【西日本】の攻30％UP</t>
  </si>
  <si>
    <t>タイプ偉人・名物の攻40％UP　/　所属が【九州・沖縄】とそれに属する県、および【全国】【西日本】の攻30％UP</t>
  </si>
  <si>
    <t>タイプ妖怪・名物の攻40％UP　/　所属が【北海道・東北】とそれに属する県、および【全国】【東日本】の攻25％UP</t>
  </si>
  <si>
    <t>タイプ武人・姫の防40％UP　/　所属が【関東】とそれに属する県、および【全国】【東日本】の防25％UP</t>
  </si>
  <si>
    <t>タイプ偉人・妖怪の攻40％UP　/　所属が【中部】とそれに属する県、および【全国】【東日本】の攻25％UP</t>
  </si>
  <si>
    <t>タイプ偉人・名物の攻40％UP　/　所属が【近畿】とそれに属する県、および【全国】【西日本】の攻25％UP</t>
  </si>
  <si>
    <t>タイプ姫・伝承の防40％UP　/　所属が【中国・四国】とそれに属する県、および【全国】【西日本】の防25％UP</t>
  </si>
  <si>
    <t>タイプ神秘・飲食の防40％UP　/　所属が【九州・沖縄】とそれに属する県、および【全国】【西日本】の防25％UP</t>
  </si>
  <si>
    <t>タイプ知性派・飲食の防35％UP　/　所属が【北海道・東北】とそれに属する県、および【全国】【東日本】の防25％UP</t>
  </si>
  <si>
    <t>タイプ神秘・知性派の防35％UP　/　所属が【関東】とそれに属する県、および【全国】【東日本】の防25％UP</t>
  </si>
  <si>
    <t>タイプ武人・伝承の攻35％UP　/　所属が【中部】とそれに属する県、および【全国】【東日本】の攻25％UP</t>
  </si>
  <si>
    <t>タイプ偉人・妖怪の攻35％UP　/　所属が【近畿】とそれに属する県、および【全国】【西日本】の攻25％UP</t>
  </si>
  <si>
    <t>タイプ偉人・名物の防35％UP　/　所属が【中国・四国】とそれに属する県、および【全国】【西日本】の防25％UP</t>
  </si>
  <si>
    <t>タイプ姫・伝承の攻35％UP　/　所属が【九州・沖縄】とそれに属する県、および【全国】【西日本】の攻25％UP</t>
  </si>
  <si>
    <t>タイプ偉人・妖怪の防35％UP　/　所属が【北海道・東北】とそれに属する県、および【全国】【東日本】の防25％UP</t>
  </si>
  <si>
    <t>タイプ妖怪・名物の防35％UP　/　所属が【関東】とそれに属する県、および【全国】【東日本】の防25％UP</t>
  </si>
  <si>
    <t>タイプ武人・姫の攻35％UP　/　所属が【中部】とそれに属する県、および【全国】【東日本】の攻25％UP</t>
  </si>
  <si>
    <t>タイプ姫・伝承の攻35％UP　/　所属が【近畿】とそれに属する県、および【全国】【西日本】の攻25％UP</t>
  </si>
  <si>
    <t>タイプ神秘・知性派の防35％UP　/　所属が【中国・四国】とそれに属する県、および【全国】【西日本】の防25％UP</t>
  </si>
  <si>
    <t>タイプ神秘・飲食の攻35％UP　/　所属が【九州・沖縄】とそれに属する県、および【全国】【西日本】の攻25％UP</t>
  </si>
  <si>
    <t>タイプ武人・伝承の攻35％UP　/　所属が【北海道・東北】とそれに属する県、および【全国】【東日本】の攻25％UP</t>
  </si>
  <si>
    <t>タイプ偉人・名物の攻35％UP　/　所属が【関東】とそれに属する県、および【全国】【東日本】の攻25％UP</t>
  </si>
  <si>
    <t>タイプ神秘・知性派の防35％UP　/　所属が【中部】とそれに属する県、および【全国】【東日本】の防25％UP</t>
  </si>
  <si>
    <t>タイプ姫・伝承の防35％UP　/　所属が【近畿】とそれに属する県、および【全国】【西日本】の防25％UP</t>
  </si>
  <si>
    <t>タイプ知性派・飲食の攻35％UP　/　所属が【中国・四国】とそれに属する県、および【全国】【西日本】の攻25％UP</t>
  </si>
  <si>
    <t>タイプ偉人・妖怪の防35％UP　/　所属が【九州・沖縄】とそれに属する県、および【全国】【西日本】の防25％UP</t>
  </si>
  <si>
    <t>タイプ偉人・妖怪・名物の攻35％UP　/　タイプ偉人・妖怪・名物の防15％DOWN</t>
  </si>
  <si>
    <t>タイプ武人・姫の攻100％DOWN　/　タイプ武人・伝承の防20％UP</t>
  </si>
  <si>
    <t>タイプ神秘・知性派・飲食の防40％UP　/　タイプ伝承・武人・姫の攻10％DOWN</t>
  </si>
  <si>
    <t>タイプ偉人・妖怪の防60％DOWN　/　タイプ妖怪・名物の攻30％UP</t>
  </si>
  <si>
    <t>タイプ伝承・武人・姫の攻15％UP　/　タイプ武人・妖怪・名物・偉人の防25％DOWN</t>
  </si>
  <si>
    <t>タイプ偉人・妖怪・名物の攻40％UP　/　タイプ伝承・武人・姫の防10％DOWN</t>
  </si>
  <si>
    <t>タイプ【武人】の防75％UP　/　タイプ姫・伝承の防30％UP</t>
  </si>
  <si>
    <t>タイプ偉人・妖怪・名物の防10％UP　/　タイプ偉人・神秘・知性派・飲食の攻35％DOWN</t>
  </si>
  <si>
    <t>タイプ伝承・武人・姫の攻15％UP　/　タイプ妖怪・名物・偉人・神秘の防25％DOWN</t>
  </si>
  <si>
    <t>タイプ神秘・知性派・飲食の攻80％DOWN　/　タイプ知性派・飲食の防25％UP</t>
  </si>
  <si>
    <t>タイプ神秘・知性派の攻40％UP　/　タイプ【飲食】の攻25％UP</t>
  </si>
  <si>
    <t>タイプ偉人・妖怪の防100％DOWN　/　タイプ偉人・名物の攻20％UP</t>
  </si>
  <si>
    <t>タイプ妖怪・名物の攻55％UP　/　タイプ【偉人】の攻25％UP</t>
  </si>
  <si>
    <t>タイプ神秘・知性派の防40％UP　/　タイプ【飲食】の防25％UP</t>
  </si>
  <si>
    <t>タイプ神秘・知性派・飲食の攻40％UP　/　タイプ伝承・武人・姫の防10％DOWN</t>
  </si>
  <si>
    <t>タイプ伝承・武人・姫の防80％DOWN　/　タイプ知性派・飲食の攻25％UP</t>
  </si>
  <si>
    <t>タイプ偉人・妖怪・名物の攻10％UP　/　タイプ武人・姫・伝承・飲食の防35％DOWN</t>
  </si>
  <si>
    <t>タイプ伝承・武人・姫の防15％UP　/　タイプ偉人・妖怪・伝承・名物の攻25％DOWN</t>
  </si>
  <si>
    <t>タイプ偉人・妖怪・名物の防10％UP　/　タイプ武人・姫・伝承・知性派の攻35％DOWN</t>
  </si>
  <si>
    <t>タイプ神秘・知性派・飲食の攻40％UP　/　タイプ偉人・妖怪・名物の防10％DOWN</t>
  </si>
  <si>
    <t>タイプ偉人・妖怪・名物の攻10％UP　/　タイプ名物・武人・姫・伝承の防35％DOWN</t>
  </si>
  <si>
    <t>タイプ神秘・知性派の攻100％DOWN　/　タイプ偉人・名物の防20％UP</t>
  </si>
  <si>
    <t>タイプ【姫】の防40％UP　/　タイプ武人・伝承の防10％UP</t>
  </si>
  <si>
    <t>タイプ偉人・妖怪・名物の防10％UP　/　タイプ神秘・飲食・知性派・伝承の攻35％DOWN</t>
  </si>
  <si>
    <t>タイプ神秘・知性派・飲食の防30％UP　/　タイプ偉人・妖怪・名物の攻50％DOWN</t>
    <rPh sb="13" eb="14">
      <t>ボウ</t>
    </rPh>
    <rPh sb="34" eb="35">
      <t>コウ</t>
    </rPh>
    <phoneticPr fontId="3"/>
  </si>
  <si>
    <t>タイプ飲食・武人の攻55％UP　/　タイプ姫・伝承の攻30％UP</t>
  </si>
  <si>
    <t>タイプ偉人・武人の防55％UP　/　タイプ姫・伝承の防30％UP</t>
  </si>
  <si>
    <t>タイプ神秘・知性派・飲食の攻30％UP　/　タイプ伝承・武人・姫の防50％DOWN</t>
  </si>
  <si>
    <t>タイプ姫・妖怪の攻55％UP　/　タイプ偉人・名物の攻30％UP</t>
  </si>
  <si>
    <t>タイプ妖怪・知性派の攻45％UP　/　タイプ偉人・名物の攻35％UP</t>
  </si>
  <si>
    <t>タイプ伝承・神秘の攻50％UP　/　タイプ知性派・飲食の攻30％UP</t>
  </si>
  <si>
    <t>タイプ名物・偉人・神秘の防40％UP　/　タイプ【妖怪】の防40％UP</t>
  </si>
  <si>
    <t>タイプ神秘・知性派・飲食の攻25％UP　/　タイプ偉人・妖怪・名物の防50％DOWN</t>
  </si>
  <si>
    <t>タイプ妖怪・知性派の防50％UP　/　タイプ偉人・名物の防30％UP</t>
  </si>
  <si>
    <t>タイプ姫・武人・名物の攻40％UP　/　タイプ【伝承】の攻30％UP</t>
  </si>
  <si>
    <t>タイプ姫・伝承の防30％UP　/　タイプ名物・妖怪・飲食の攻12％DOWN</t>
  </si>
  <si>
    <t>タイプ名物・偉人・神秘の攻40％UP　/　タイプ【妖怪】の攻35％UP</t>
  </si>
  <si>
    <t>タイプ【神秘】の防50％UP　/　タイプ飲食・知性派・姫・伝承の防30％UP</t>
  </si>
  <si>
    <t>タイプ名物・妖怪・飲食の防40％UP　/　タイプ【偉人】の防35％UP</t>
  </si>
  <si>
    <t>タイプ偉人・妖怪・知性派の攻20％UP　/　タイプ【名物】の攻15％UP</t>
  </si>
  <si>
    <t>タイプ武人・知性派の防50％UP　/　タイプ姫・伝承の防30％UP</t>
  </si>
  <si>
    <t>タイプ神秘・知性派・飲食の防25％UP　/　タイプ神秘・知性派・飲食の攻50％DOWN</t>
  </si>
  <si>
    <t>タイプ名物・妖怪・姫の攻40％UP　/　タイプ【偉人】の攻30％UP</t>
  </si>
  <si>
    <t>タイプ神秘・名物の防50％UP　/　タイプ知性派・飲食の防30％UP</t>
  </si>
  <si>
    <t>タイプ名物・偉人・神秘の攻40％UP　/　タイプ【妖怪】の攻30％UP</t>
  </si>
  <si>
    <t>タイプ偉人・武人の防50％UP　/　タイプ姫・伝承の防30％UP</t>
  </si>
  <si>
    <t>タイプ偉人・武人の防50％UP　/　 タイプ姫・伝承の防30％UP</t>
  </si>
  <si>
    <t>2018/02防衛戦</t>
    <rPh sb="7" eb="10">
      <t>ボウエイセン</t>
    </rPh>
    <phoneticPr fontId="3"/>
  </si>
  <si>
    <t>2018/02龍神杯</t>
    <rPh sb="7" eb="9">
      <t>リュウジン</t>
    </rPh>
    <rPh sb="9" eb="10">
      <t>ハイ</t>
    </rPh>
    <phoneticPr fontId="3"/>
  </si>
  <si>
    <t>2018/02サイコロ</t>
    <phoneticPr fontId="3"/>
  </si>
  <si>
    <t>2018/02四神戦</t>
    <rPh sb="7" eb="8">
      <t>ヨン</t>
    </rPh>
    <rPh sb="8" eb="9">
      <t>シン</t>
    </rPh>
    <rPh sb="9" eb="10">
      <t>セン</t>
    </rPh>
    <phoneticPr fontId="3"/>
  </si>
  <si>
    <t>嫉妬に狂った薙刀使い</t>
    <phoneticPr fontId="3"/>
  </si>
  <si>
    <t>しょうせんいん</t>
    <phoneticPr fontId="3"/>
  </si>
  <si>
    <t>希望へ導く正しき智慧</t>
    <phoneticPr fontId="3"/>
  </si>
  <si>
    <t>しんどうにのみやきんじろう</t>
    <phoneticPr fontId="3"/>
  </si>
  <si>
    <t>放つ矢に想いをのせて</t>
    <phoneticPr fontId="3"/>
  </si>
  <si>
    <t>きゅーぴっどみむらつる</t>
    <phoneticPr fontId="3"/>
  </si>
  <si>
    <t>氷の玉座に座る艶飴</t>
    <phoneticPr fontId="3"/>
  </si>
  <si>
    <t>ゆきのおうこくきょうあめ</t>
    <phoneticPr fontId="3"/>
  </si>
  <si>
    <t>12+?+?</t>
    <phoneticPr fontId="3"/>
  </si>
  <si>
    <t>18+?+?,11,10,11</t>
    <phoneticPr fontId="3"/>
  </si>
  <si>
    <t>ギ1</t>
    <phoneticPr fontId="3"/>
  </si>
  <si>
    <t>15+?+?,12</t>
    <phoneticPr fontId="3"/>
  </si>
  <si>
    <t>15+?+?</t>
    <phoneticPr fontId="3"/>
  </si>
  <si>
    <t>16+?+?,?,?,?,?</t>
    <phoneticPr fontId="3"/>
  </si>
  <si>
    <t>14+?+?,11,12,10</t>
    <phoneticPr fontId="3"/>
  </si>
  <si>
    <t>13+11+(13+11),10,10,10,11 12+?+?,11</t>
    <phoneticPr fontId="3"/>
  </si>
  <si>
    <t>14+?+?,?,10,10,13</t>
    <phoneticPr fontId="3"/>
  </si>
  <si>
    <t>12+11+12,9,10</t>
    <phoneticPr fontId="3"/>
  </si>
  <si>
    <t>13+10+(13+12),10,10,10,10 処10</t>
    <rPh sb="26" eb="27">
      <t>ショ</t>
    </rPh>
    <phoneticPr fontId="3"/>
  </si>
  <si>
    <t>処10+10+10</t>
    <rPh sb="0" eb="1">
      <t>ショ</t>
    </rPh>
    <phoneticPr fontId="3"/>
  </si>
  <si>
    <t>11+10+10,10,10</t>
    <phoneticPr fontId="3"/>
  </si>
  <si>
    <t>11+10+10,10,(9+?+?)</t>
    <phoneticPr fontId="3"/>
  </si>
  <si>
    <t>14+?+?,10,10,13,10 処10*1,11*1</t>
    <rPh sb="19" eb="20">
      <t>ショ</t>
    </rPh>
    <phoneticPr fontId="3"/>
  </si>
  <si>
    <t>12+?+?,10,10,10,10 処10*1</t>
    <rPh sb="19" eb="20">
      <t>ショ</t>
    </rPh>
    <phoneticPr fontId="3"/>
  </si>
  <si>
    <t>14+?+?,?,13,11,10 処10*3,11*1,12*2,13*1</t>
    <rPh sb="18" eb="19">
      <t>ショ</t>
    </rPh>
    <phoneticPr fontId="3"/>
  </si>
  <si>
    <t>12+?+?,10,10,10,10 処11*1</t>
    <rPh sb="19" eb="20">
      <t>ショ</t>
    </rPh>
    <phoneticPr fontId="3"/>
  </si>
  <si>
    <t>14+?+?,?,10,10,12 処10*2</t>
    <rPh sb="18" eb="19">
      <t>ショ</t>
    </rPh>
    <phoneticPr fontId="3"/>
  </si>
  <si>
    <t>13+?+?,?,11,11,11</t>
    <phoneticPr fontId="3"/>
  </si>
  <si>
    <t>処10+10+10 処10</t>
    <rPh sb="0" eb="1">
      <t>ショ</t>
    </rPh>
    <rPh sb="10" eb="11">
      <t>ショ</t>
    </rPh>
    <phoneticPr fontId="3"/>
  </si>
  <si>
    <t>15+?+?,?,10,10,10</t>
    <phoneticPr fontId="3"/>
  </si>
  <si>
    <t>14+?+?,?,10,11,10 処11*1,10*1</t>
    <rPh sb="18" eb="19">
      <t>ショ</t>
    </rPh>
    <phoneticPr fontId="3"/>
  </si>
  <si>
    <t>13+?+?,?,11,13,11</t>
    <phoneticPr fontId="3"/>
  </si>
  <si>
    <t>16+?+?,?,?,?,? 処12*1,11*1,10*2</t>
    <rPh sb="15" eb="16">
      <t>ショ</t>
    </rPh>
    <phoneticPr fontId="3"/>
  </si>
  <si>
    <t>13+?+?,?,11,10</t>
    <phoneticPr fontId="3"/>
  </si>
  <si>
    <t>13+?+?,?,12,11</t>
    <phoneticPr fontId="3"/>
  </si>
  <si>
    <t>12+?+?,?,10,10,10</t>
    <phoneticPr fontId="3"/>
  </si>
  <si>
    <t>17+14+(16+15),10,11,12,13 処12*1,11*2,10*2</t>
    <rPh sb="26" eb="27">
      <t>トコロ</t>
    </rPh>
    <phoneticPr fontId="3"/>
  </si>
  <si>
    <t>12+?+?,?,10,10</t>
    <phoneticPr fontId="3"/>
  </si>
  <si>
    <t>14+?+?,?,10,10,11</t>
    <phoneticPr fontId="3"/>
  </si>
  <si>
    <t>13+?+?,10,10,12,10</t>
    <phoneticPr fontId="3"/>
  </si>
  <si>
    <t>16+13+(14+14),10,10,11,11 処11,10,10</t>
    <phoneticPr fontId="3"/>
  </si>
  <si>
    <t>14+?+?,?,11,11,10 処12,10*4</t>
    <phoneticPr fontId="3"/>
  </si>
  <si>
    <t>13+?+?,10,11,10,10 処12</t>
    <phoneticPr fontId="3"/>
  </si>
  <si>
    <t>17+14+(16+15),10,10,11,12 処10*8</t>
    <phoneticPr fontId="3"/>
  </si>
  <si>
    <t>11+?+?,?,10,10,11 処11</t>
    <phoneticPr fontId="3"/>
  </si>
  <si>
    <t>11+10+(10+10)</t>
    <phoneticPr fontId="3"/>
  </si>
  <si>
    <r>
      <t>1</t>
    </r>
    <r>
      <rPr>
        <sz val="11"/>
        <color theme="1"/>
        <rFont val="Yu Gothic"/>
        <family val="2"/>
        <scheme val="minor"/>
      </rPr>
      <t>2+10+11</t>
    </r>
    <phoneticPr fontId="3"/>
  </si>
  <si>
    <t>12+10+11,10,10,10,11 処12</t>
    <rPh sb="21" eb="22">
      <t>トコロ</t>
    </rPh>
    <phoneticPr fontId="3"/>
  </si>
  <si>
    <t>11+10+(11+10),10 処9+?+?</t>
    <rPh sb="17" eb="18">
      <t>トコロ</t>
    </rPh>
    <phoneticPr fontId="3"/>
  </si>
  <si>
    <r>
      <t>1</t>
    </r>
    <r>
      <rPr>
        <sz val="11"/>
        <color theme="1"/>
        <rFont val="Yu Gothic"/>
        <family val="2"/>
        <scheme val="minor"/>
      </rPr>
      <t>1+10+10</t>
    </r>
    <phoneticPr fontId="3"/>
  </si>
  <si>
    <t>12+10+(11+11),10,10</t>
    <phoneticPr fontId="3"/>
  </si>
  <si>
    <r>
      <t>1</t>
    </r>
    <r>
      <rPr>
        <sz val="11"/>
        <color theme="1"/>
        <rFont val="Yu Gothic"/>
        <family val="2"/>
        <scheme val="minor"/>
      </rPr>
      <t>1+10+(10+10)</t>
    </r>
    <phoneticPr fontId="3"/>
  </si>
  <si>
    <r>
      <t>1</t>
    </r>
    <r>
      <rPr>
        <sz val="11"/>
        <color theme="1"/>
        <rFont val="Yu Gothic"/>
        <family val="2"/>
        <scheme val="minor"/>
      </rPr>
      <t>2+10+(10+10),10,10</t>
    </r>
    <phoneticPr fontId="3"/>
  </si>
  <si>
    <t>13+10+(11+11),10</t>
    <phoneticPr fontId="3"/>
  </si>
  <si>
    <t>13+12+(13+10),10,10,10,10</t>
    <phoneticPr fontId="3"/>
  </si>
  <si>
    <t>11+11+(11+10),10,10,10</t>
    <phoneticPr fontId="3"/>
  </si>
  <si>
    <t>10+10+(10+10),10</t>
    <phoneticPr fontId="3"/>
  </si>
  <si>
    <r>
      <t>13+10+(</t>
    </r>
    <r>
      <rPr>
        <sz val="11"/>
        <color theme="1"/>
        <rFont val="Yu Gothic"/>
        <family val="2"/>
        <scheme val="minor"/>
      </rPr>
      <t>11+11</t>
    </r>
    <r>
      <rPr>
        <sz val="11"/>
        <color theme="1"/>
        <rFont val="Yu Gothic"/>
        <family val="2"/>
        <scheme val="minor"/>
      </rPr>
      <t>),</t>
    </r>
    <r>
      <rPr>
        <sz val="11"/>
        <color theme="1"/>
        <rFont val="Yu Gothic"/>
        <family val="2"/>
        <scheme val="minor"/>
      </rPr>
      <t>10,10,10,10</t>
    </r>
    <phoneticPr fontId="3"/>
  </si>
  <si>
    <r>
      <t>12+10+(</t>
    </r>
    <r>
      <rPr>
        <sz val="11"/>
        <color theme="1"/>
        <rFont val="Yu Gothic"/>
        <family val="2"/>
        <scheme val="minor"/>
      </rPr>
      <t>11+11</t>
    </r>
    <r>
      <rPr>
        <sz val="11"/>
        <color theme="1"/>
        <rFont val="Yu Gothic"/>
        <family val="2"/>
        <scheme val="minor"/>
      </rPr>
      <t>),</t>
    </r>
    <r>
      <rPr>
        <sz val="11"/>
        <color theme="1"/>
        <rFont val="Yu Gothic"/>
        <family val="2"/>
        <scheme val="minor"/>
      </rPr>
      <t>10,10,10,10</t>
    </r>
    <phoneticPr fontId="3"/>
  </si>
  <si>
    <r>
      <t>14+10</t>
    </r>
    <r>
      <rPr>
        <sz val="11"/>
        <color theme="1"/>
        <rFont val="Yu Gothic"/>
        <family val="2"/>
        <scheme val="minor"/>
      </rPr>
      <t>+(</t>
    </r>
    <r>
      <rPr>
        <sz val="11"/>
        <color theme="1"/>
        <rFont val="Yu Gothic"/>
        <family val="2"/>
        <scheme val="minor"/>
      </rPr>
      <t>13+11</t>
    </r>
    <r>
      <rPr>
        <sz val="11"/>
        <color theme="1"/>
        <rFont val="Yu Gothic"/>
        <family val="2"/>
        <scheme val="minor"/>
      </rPr>
      <t>),</t>
    </r>
    <r>
      <rPr>
        <sz val="11"/>
        <color theme="1"/>
        <rFont val="Yu Gothic"/>
        <family val="2"/>
        <scheme val="minor"/>
      </rPr>
      <t>10,10,10,10</t>
    </r>
    <phoneticPr fontId="3"/>
  </si>
  <si>
    <r>
      <t>11+11</t>
    </r>
    <r>
      <rPr>
        <sz val="11"/>
        <color theme="1"/>
        <rFont val="Yu Gothic"/>
        <family val="2"/>
        <scheme val="minor"/>
      </rPr>
      <t>+(</t>
    </r>
    <r>
      <rPr>
        <sz val="11"/>
        <color theme="1"/>
        <rFont val="Yu Gothic"/>
        <family val="2"/>
        <scheme val="minor"/>
      </rPr>
      <t>11+11</t>
    </r>
    <r>
      <rPr>
        <sz val="11"/>
        <color theme="1"/>
        <rFont val="Yu Gothic"/>
        <family val="2"/>
        <scheme val="minor"/>
      </rPr>
      <t>),</t>
    </r>
    <r>
      <rPr>
        <sz val="11"/>
        <color theme="1"/>
        <rFont val="Yu Gothic"/>
        <family val="2"/>
        <scheme val="minor"/>
      </rPr>
      <t>10,10,10</t>
    </r>
    <phoneticPr fontId="3"/>
  </si>
  <si>
    <r>
      <t>12+11</t>
    </r>
    <r>
      <rPr>
        <sz val="11"/>
        <color theme="1"/>
        <rFont val="Yu Gothic"/>
        <family val="2"/>
        <scheme val="minor"/>
      </rPr>
      <t>+(</t>
    </r>
    <r>
      <rPr>
        <sz val="11"/>
        <color theme="1"/>
        <rFont val="Yu Gothic"/>
        <family val="2"/>
        <scheme val="minor"/>
      </rPr>
      <t>12+10</t>
    </r>
    <r>
      <rPr>
        <sz val="11"/>
        <color theme="1"/>
        <rFont val="Yu Gothic"/>
        <family val="2"/>
        <scheme val="minor"/>
      </rPr>
      <t>),</t>
    </r>
    <r>
      <rPr>
        <sz val="11"/>
        <color theme="1"/>
        <rFont val="Yu Gothic"/>
        <family val="2"/>
        <scheme val="minor"/>
      </rPr>
      <t>10,10</t>
    </r>
    <phoneticPr fontId="3"/>
  </si>
  <si>
    <r>
      <t>13+10</t>
    </r>
    <r>
      <rPr>
        <sz val="11"/>
        <color theme="1"/>
        <rFont val="Yu Gothic"/>
        <family val="2"/>
        <scheme val="minor"/>
      </rPr>
      <t>+(</t>
    </r>
    <r>
      <rPr>
        <sz val="11"/>
        <color theme="1"/>
        <rFont val="Yu Gothic"/>
        <family val="2"/>
        <scheme val="minor"/>
      </rPr>
      <t>11+10</t>
    </r>
    <r>
      <rPr>
        <sz val="11"/>
        <color theme="1"/>
        <rFont val="Yu Gothic"/>
        <family val="2"/>
        <scheme val="minor"/>
      </rPr>
      <t>)</t>
    </r>
    <phoneticPr fontId="3"/>
  </si>
  <si>
    <t>12+10+(12+11),10,10,10,10 処10*6,11*1</t>
    <phoneticPr fontId="3"/>
  </si>
  <si>
    <r>
      <t>13+10</t>
    </r>
    <r>
      <rPr>
        <sz val="11"/>
        <color theme="1"/>
        <rFont val="Yu Gothic"/>
        <family val="2"/>
        <scheme val="minor"/>
      </rPr>
      <t>+(</t>
    </r>
    <r>
      <rPr>
        <sz val="11"/>
        <color theme="1"/>
        <rFont val="Yu Gothic"/>
        <family val="2"/>
        <scheme val="minor"/>
      </rPr>
      <t>10+10</t>
    </r>
    <r>
      <rPr>
        <sz val="11"/>
        <color theme="1"/>
        <rFont val="Yu Gothic"/>
        <family val="2"/>
        <scheme val="minor"/>
      </rPr>
      <t>),</t>
    </r>
    <r>
      <rPr>
        <sz val="11"/>
        <color theme="1"/>
        <rFont val="Yu Gothic"/>
        <family val="2"/>
        <scheme val="minor"/>
      </rPr>
      <t>10</t>
    </r>
    <phoneticPr fontId="3"/>
  </si>
  <si>
    <r>
      <t>11+10</t>
    </r>
    <r>
      <rPr>
        <sz val="11"/>
        <color theme="1"/>
        <rFont val="Yu Gothic"/>
        <family val="2"/>
        <scheme val="minor"/>
      </rPr>
      <t>+</t>
    </r>
    <r>
      <rPr>
        <sz val="11"/>
        <color theme="1"/>
        <rFont val="Yu Gothic"/>
        <family val="2"/>
        <scheme val="minor"/>
      </rPr>
      <t>11</t>
    </r>
    <r>
      <rPr>
        <sz val="11"/>
        <color theme="1"/>
        <rFont val="Yu Gothic"/>
        <family val="2"/>
        <scheme val="minor"/>
      </rPr>
      <t>,</t>
    </r>
    <r>
      <rPr>
        <sz val="11"/>
        <color theme="1"/>
        <rFont val="Yu Gothic"/>
        <family val="2"/>
        <scheme val="minor"/>
      </rPr>
      <t>10,10</t>
    </r>
    <phoneticPr fontId="3"/>
  </si>
  <si>
    <r>
      <t>10+10</t>
    </r>
    <r>
      <rPr>
        <sz val="11"/>
        <color theme="1"/>
        <rFont val="Yu Gothic"/>
        <family val="2"/>
        <scheme val="minor"/>
      </rPr>
      <t>+</t>
    </r>
    <r>
      <rPr>
        <sz val="11"/>
        <color theme="1"/>
        <rFont val="Yu Gothic"/>
        <family val="2"/>
        <scheme val="minor"/>
      </rPr>
      <t>10</t>
    </r>
    <phoneticPr fontId="3"/>
  </si>
  <si>
    <t>15+?+?,12,10,10,11 処11*1</t>
    <rPh sb="19" eb="20">
      <t>ショ</t>
    </rPh>
    <phoneticPr fontId="3"/>
  </si>
  <si>
    <t>13+?+?,10,11,10,10 処11*1,12*1</t>
    <rPh sb="19" eb="20">
      <t>ショ</t>
    </rPh>
    <phoneticPr fontId="3"/>
  </si>
  <si>
    <t>12+?+?,10,10</t>
    <phoneticPr fontId="3"/>
  </si>
  <si>
    <t>12+?+?,10,10,10,11</t>
    <phoneticPr fontId="3"/>
  </si>
  <si>
    <t>14+?+?,10,11,10,11 処10*1,11*2</t>
    <rPh sb="19" eb="20">
      <t>ショ</t>
    </rPh>
    <phoneticPr fontId="3"/>
  </si>
  <si>
    <t>13+?+?,10,11,12,10 処10*2</t>
    <rPh sb="19" eb="20">
      <t>ショ</t>
    </rPh>
    <phoneticPr fontId="3"/>
  </si>
  <si>
    <t>11(↑進化後12)+?+?,10,10,10</t>
    <rPh sb="4" eb="6">
      <t>シンカ</t>
    </rPh>
    <rPh sb="6" eb="7">
      <t>ゴ</t>
    </rPh>
    <phoneticPr fontId="3"/>
  </si>
  <si>
    <t>13(↑進化後17)+?+?,10,11,10,10 処10*1,12*1</t>
    <rPh sb="4" eb="6">
      <t>シンカ</t>
    </rPh>
    <rPh sb="6" eb="7">
      <t>ゴ</t>
    </rPh>
    <rPh sb="27" eb="28">
      <t>ショ</t>
    </rPh>
    <phoneticPr fontId="3"/>
  </si>
  <si>
    <t>ガチャ 2017/9/4, 10/4, 11/4, 11/28, 12/20, 2018/1/28, 2/7, 3/25, 4/17, 5/20, 6/15, 7/11, 8/30, 9/29, 10/30, 12/26, 2019/1/3, 3/26, 4/26, 5/26, 6/26, 7/17, 8/13, 10/29, 12/28, 2020/1/29, 2/26</t>
    <phoneticPr fontId="3"/>
  </si>
  <si>
    <t>進化</t>
    <rPh sb="0" eb="2">
      <t>シンカ</t>
    </rPh>
    <phoneticPr fontId="3"/>
  </si>
  <si>
    <t>(15+8)+竜+(8+8)</t>
    <phoneticPr fontId="3"/>
  </si>
  <si>
    <t>処8*1</t>
    <phoneticPr fontId="3"/>
  </si>
  <si>
    <t>(17+10)+(13+11)+((14+12)+(13+12))</t>
    <phoneticPr fontId="3"/>
  </si>
  <si>
    <t>引a1</t>
    <phoneticPr fontId="3"/>
  </si>
  <si>
    <t>引a1倉1</t>
    <rPh sb="3" eb="4">
      <t>ソウ</t>
    </rPh>
    <phoneticPr fontId="3"/>
  </si>
  <si>
    <t>引b1</t>
    <phoneticPr fontId="3"/>
  </si>
  <si>
    <t>引c1</t>
    <phoneticPr fontId="3"/>
  </si>
  <si>
    <t>引d2</t>
    <phoneticPr fontId="3"/>
  </si>
  <si>
    <t>引b1引e1</t>
    <phoneticPr fontId="3"/>
  </si>
  <si>
    <t>引b1引f1</t>
    <phoneticPr fontId="3"/>
  </si>
  <si>
    <t>引a1引g1</t>
    <phoneticPr fontId="3"/>
  </si>
  <si>
    <t>引h1</t>
    <phoneticPr fontId="3"/>
  </si>
  <si>
    <t>引b1引f1引i1</t>
    <rPh sb="6" eb="7">
      <t>ヒ</t>
    </rPh>
    <phoneticPr fontId="3"/>
  </si>
  <si>
    <t>引b1引f1引i1</t>
    <phoneticPr fontId="3"/>
  </si>
  <si>
    <t>引i1</t>
    <phoneticPr fontId="3"/>
  </si>
  <si>
    <t>引j1</t>
    <phoneticPr fontId="3"/>
  </si>
  <si>
    <t>引k1</t>
    <phoneticPr fontId="3"/>
  </si>
  <si>
    <t>引l1</t>
    <phoneticPr fontId="3"/>
  </si>
  <si>
    <t>引b1引m1</t>
    <phoneticPr fontId="3"/>
  </si>
  <si>
    <t>引n1</t>
    <phoneticPr fontId="3"/>
  </si>
  <si>
    <t>引o1</t>
    <phoneticPr fontId="3"/>
  </si>
  <si>
    <t>トイレと屋上にて待機完了！</t>
    <phoneticPr fontId="3"/>
  </si>
  <si>
    <t>七不思議、いくつ知ってる・・・？</t>
    <phoneticPr fontId="3"/>
  </si>
  <si>
    <t>怪談スカウトチーム</t>
    <phoneticPr fontId="3"/>
  </si>
  <si>
    <t>所持</t>
    <rPh sb="0" eb="2">
      <t>ショジ</t>
    </rPh>
    <phoneticPr fontId="3"/>
  </si>
  <si>
    <t>15,15</t>
    <phoneticPr fontId="3"/>
  </si>
  <si>
    <t>15+13+(15+14)</t>
    <phoneticPr fontId="3"/>
  </si>
  <si>
    <t>15+竜+(?+竜),13</t>
    <rPh sb="3" eb="4">
      <t>リュウ</t>
    </rPh>
    <rPh sb="8" eb="9">
      <t>リュウ</t>
    </rPh>
    <phoneticPr fontId="3"/>
  </si>
  <si>
    <t>21+15+(16+16),12</t>
    <phoneticPr fontId="3"/>
  </si>
  <si>
    <t>16+13+(15+15),12,15</t>
    <phoneticPr fontId="3"/>
  </si>
  <si>
    <t>15+?+(?+?),14</t>
    <phoneticPr fontId="3"/>
  </si>
  <si>
    <t>17,</t>
    <phoneticPr fontId="3"/>
  </si>
  <si>
    <t>17,17</t>
    <phoneticPr fontId="3"/>
  </si>
  <si>
    <t>16+?+?,13</t>
    <phoneticPr fontId="3"/>
  </si>
  <si>
    <t>15+?+(?+?),15</t>
    <phoneticPr fontId="3"/>
  </si>
  <si>
    <t>13+?+(?+?)</t>
    <phoneticPr fontId="3"/>
  </si>
  <si>
    <t>15+?+?,?,?,?</t>
    <phoneticPr fontId="3"/>
  </si>
  <si>
    <t>14+竜+(13+竜)</t>
    <rPh sb="3" eb="4">
      <t>リュウ</t>
    </rPh>
    <rPh sb="9" eb="10">
      <t>リュウ</t>
    </rPh>
    <phoneticPr fontId="3"/>
  </si>
  <si>
    <t>13+?+(?+?),?</t>
    <phoneticPr fontId="3"/>
  </si>
  <si>
    <t>14,12</t>
    <phoneticPr fontId="3"/>
  </si>
  <si>
    <t>12,</t>
    <phoneticPr fontId="3"/>
  </si>
  <si>
    <t>17+竜+(16+竜)</t>
    <rPh sb="3" eb="4">
      <t>リュウ</t>
    </rPh>
    <rPh sb="9" eb="10">
      <t>リュウ</t>
    </rPh>
    <phoneticPr fontId="3"/>
  </si>
  <si>
    <t>14+?+?</t>
    <phoneticPr fontId="3"/>
  </si>
  <si>
    <t>13,</t>
    <phoneticPr fontId="3"/>
  </si>
  <si>
    <t>14+?+(?+?)</t>
    <phoneticPr fontId="3"/>
  </si>
  <si>
    <t>ギ1倉1</t>
    <phoneticPr fontId="3"/>
  </si>
  <si>
    <t>倉1</t>
    <phoneticPr fontId="3"/>
  </si>
  <si>
    <t>21+14+(18+14),11,12,13,14</t>
    <phoneticPr fontId="3"/>
  </si>
  <si>
    <t>倉1</t>
    <rPh sb="0" eb="1">
      <t>クラ</t>
    </rPh>
    <phoneticPr fontId="3"/>
  </si>
  <si>
    <t>14+12+(14+12),11,11,12,14</t>
    <phoneticPr fontId="3"/>
  </si>
  <si>
    <t>14+14+(14+14),11,9,9</t>
    <phoneticPr fontId="3"/>
  </si>
  <si>
    <t>14(↑3進後16)+11+(13+13),12,14</t>
    <rPh sb="5" eb="6">
      <t>シン</t>
    </rPh>
    <rPh sb="6" eb="7">
      <t>ゴ</t>
    </rPh>
    <phoneticPr fontId="3"/>
  </si>
  <si>
    <r>
      <t>14+竜</t>
    </r>
    <r>
      <rPr>
        <sz val="11"/>
        <color theme="1"/>
        <rFont val="Yu Gothic"/>
        <family val="2"/>
        <scheme val="minor"/>
      </rPr>
      <t>+(11+11)</t>
    </r>
    <rPh sb="3" eb="4">
      <t>リュウ</t>
    </rPh>
    <phoneticPr fontId="3"/>
  </si>
  <si>
    <t>17+9+(14+13),10,11,14,14</t>
    <phoneticPr fontId="3"/>
  </si>
  <si>
    <t>14+14+(13+13),10,10,13,11</t>
    <phoneticPr fontId="3"/>
  </si>
  <si>
    <r>
      <t>1</t>
    </r>
    <r>
      <rPr>
        <sz val="11"/>
        <color theme="1"/>
        <rFont val="Yu Gothic"/>
        <family val="3"/>
        <charset val="128"/>
        <scheme val="minor"/>
      </rPr>
      <t>4+11+13,9,9,14</t>
    </r>
    <phoneticPr fontId="3"/>
  </si>
  <si>
    <r>
      <t>14+</t>
    </r>
    <r>
      <rPr>
        <sz val="11"/>
        <color theme="1"/>
        <rFont val="Yu Gothic"/>
        <family val="2"/>
        <scheme val="minor"/>
      </rPr>
      <t>9+13</t>
    </r>
    <phoneticPr fontId="3"/>
  </si>
  <si>
    <t>15+12+(15+14)</t>
    <phoneticPr fontId="3"/>
  </si>
  <si>
    <r>
      <t>1</t>
    </r>
    <r>
      <rPr>
        <sz val="11"/>
        <color theme="1"/>
        <rFont val="Yu Gothic"/>
        <family val="3"/>
        <charset val="128"/>
        <scheme val="minor"/>
      </rPr>
      <t>5+9+15,11,13</t>
    </r>
    <phoneticPr fontId="3"/>
  </si>
  <si>
    <t>15(↑3進後+3)+11+12,12,竜,竜,竜</t>
    <rPh sb="5" eb="6">
      <t>シン</t>
    </rPh>
    <rPh sb="6" eb="7">
      <t>ゴ</t>
    </rPh>
    <rPh sb="20" eb="21">
      <t>リュウ</t>
    </rPh>
    <rPh sb="22" eb="23">
      <t>リュウ</t>
    </rPh>
    <rPh sb="24" eb="25">
      <t>リュウ</t>
    </rPh>
    <phoneticPr fontId="3"/>
  </si>
  <si>
    <t>14(↑3進後15)+竜+(?+?),12,12,?,13</t>
    <rPh sb="11" eb="12">
      <t>リュウ</t>
    </rPh>
    <phoneticPr fontId="3"/>
  </si>
  <si>
    <t>15+10+(13+11),13,11</t>
    <phoneticPr fontId="3"/>
  </si>
  <si>
    <t>15+14+絶大,9</t>
    <phoneticPr fontId="3"/>
  </si>
  <si>
    <t>14+9+(11+9)</t>
    <phoneticPr fontId="3"/>
  </si>
  <si>
    <t>14+13+14,14,12,12,10 売11</t>
    <rPh sb="21" eb="22">
      <t>ウ</t>
    </rPh>
    <phoneticPr fontId="3"/>
  </si>
  <si>
    <t>14+14+(12+12),9,9,13</t>
    <phoneticPr fontId="3"/>
  </si>
  <si>
    <t>14+10+(11+11),9,9</t>
    <phoneticPr fontId="3"/>
  </si>
  <si>
    <t>11+9</t>
    <phoneticPr fontId="3"/>
  </si>
  <si>
    <t>13+</t>
    <phoneticPr fontId="3"/>
  </si>
  <si>
    <t>ー</t>
  </si>
  <si>
    <t>14+13</t>
    <phoneticPr fontId="3"/>
  </si>
  <si>
    <t>16+11+13,11</t>
    <phoneticPr fontId="3"/>
  </si>
  <si>
    <r>
      <t>14+9</t>
    </r>
    <r>
      <rPr>
        <sz val="11"/>
        <color theme="1"/>
        <rFont val="Yu Gothic"/>
        <family val="2"/>
        <scheme val="minor"/>
      </rPr>
      <t>+</t>
    </r>
    <r>
      <rPr>
        <sz val="11"/>
        <color theme="1"/>
        <rFont val="Yu Gothic"/>
        <family val="2"/>
        <scheme val="minor"/>
      </rPr>
      <t>10</t>
    </r>
    <phoneticPr fontId="3"/>
  </si>
  <si>
    <r>
      <t>14+10</t>
    </r>
    <r>
      <rPr>
        <sz val="11"/>
        <color theme="1"/>
        <rFont val="Yu Gothic"/>
        <family val="2"/>
        <scheme val="minor"/>
      </rPr>
      <t>+</t>
    </r>
    <r>
      <rPr>
        <sz val="11"/>
        <color theme="1"/>
        <rFont val="Yu Gothic"/>
        <family val="2"/>
        <scheme val="minor"/>
      </rPr>
      <t>11</t>
    </r>
    <phoneticPr fontId="3"/>
  </si>
  <si>
    <t>9+9</t>
    <phoneticPr fontId="3"/>
  </si>
  <si>
    <t>14+9+(13+竜),12</t>
    <rPh sb="9" eb="10">
      <t>リュウ</t>
    </rPh>
    <phoneticPr fontId="3"/>
  </si>
  <si>
    <r>
      <t>13+9</t>
    </r>
    <r>
      <rPr>
        <sz val="11"/>
        <color theme="1"/>
        <rFont val="Yu Gothic"/>
        <family val="2"/>
        <scheme val="minor"/>
      </rPr>
      <t>+</t>
    </r>
    <r>
      <rPr>
        <sz val="11"/>
        <color theme="1"/>
        <rFont val="Yu Gothic"/>
        <family val="2"/>
        <scheme val="minor"/>
      </rPr>
      <t>10</t>
    </r>
    <phoneticPr fontId="3"/>
  </si>
  <si>
    <r>
      <t>16+13</t>
    </r>
    <r>
      <rPr>
        <sz val="11"/>
        <color theme="1"/>
        <rFont val="Yu Gothic"/>
        <family val="2"/>
        <scheme val="minor"/>
      </rPr>
      <t>+</t>
    </r>
    <r>
      <rPr>
        <sz val="11"/>
        <color theme="1"/>
        <rFont val="Yu Gothic"/>
        <family val="2"/>
        <scheme val="minor"/>
      </rPr>
      <t>13</t>
    </r>
    <phoneticPr fontId="3"/>
  </si>
  <si>
    <r>
      <t>14+9</t>
    </r>
    <r>
      <rPr>
        <sz val="11"/>
        <color theme="1"/>
        <rFont val="Yu Gothic"/>
        <family val="2"/>
        <scheme val="minor"/>
      </rPr>
      <t>+</t>
    </r>
    <r>
      <rPr>
        <sz val="11"/>
        <color theme="1"/>
        <rFont val="Yu Gothic"/>
        <family val="2"/>
        <scheme val="minor"/>
      </rPr>
      <t>12</t>
    </r>
    <phoneticPr fontId="3"/>
  </si>
  <si>
    <t>14+竜+絶大</t>
    <rPh sb="3" eb="4">
      <t>リュウ</t>
    </rPh>
    <phoneticPr fontId="3"/>
  </si>
  <si>
    <t>9+</t>
    <phoneticPr fontId="3"/>
  </si>
  <si>
    <t>入手</t>
    <rPh sb="0" eb="2">
      <t>ニュウシュ</t>
    </rPh>
    <phoneticPr fontId="3"/>
  </si>
  <si>
    <t>ふるみどうしうん</t>
    <phoneticPr fontId="3"/>
  </si>
  <si>
    <t>ベリアルの剣</t>
    <phoneticPr fontId="3"/>
  </si>
  <si>
    <t>さかきばらるい</t>
    <phoneticPr fontId="3"/>
  </si>
  <si>
    <t>処15</t>
    <rPh sb="0" eb="1">
      <t>ショ</t>
    </rPh>
    <phoneticPr fontId="3"/>
  </si>
  <si>
    <t>進め狐ガール</t>
    <phoneticPr fontId="3"/>
  </si>
  <si>
    <t>くぐつまり</t>
    <phoneticPr fontId="3"/>
  </si>
  <si>
    <t>独眼流クイーン</t>
    <phoneticPr fontId="3"/>
  </si>
  <si>
    <t>えんじょうじけいと</t>
  </si>
  <si>
    <t>14,</t>
    <phoneticPr fontId="3"/>
  </si>
  <si>
    <t>予15c+竜+14</t>
    <rPh sb="0" eb="1">
      <t>ヨ</t>
    </rPh>
    <rPh sb="5" eb="6">
      <t>リュウ</t>
    </rPh>
    <phoneticPr fontId="3"/>
  </si>
  <si>
    <t>逮捕遊戯</t>
  </si>
  <si>
    <t>タイプ偉人・妖怪・名物の防50％UP</t>
  </si>
  <si>
    <t>やみ</t>
    <phoneticPr fontId="3"/>
  </si>
  <si>
    <t>引b1</t>
    <rPh sb="0" eb="1">
      <t>ヒ</t>
    </rPh>
    <phoneticPr fontId="3"/>
  </si>
  <si>
    <t>縛鎖の解放</t>
    <phoneticPr fontId="3"/>
  </si>
  <si>
    <t>しんがえかすか</t>
    <phoneticPr fontId="3"/>
  </si>
  <si>
    <t>引a1</t>
    <rPh sb="0" eb="1">
      <t>ヒ</t>
    </rPh>
    <phoneticPr fontId="3"/>
  </si>
  <si>
    <t>花魁ブロンディー</t>
    <phoneticPr fontId="3"/>
  </si>
  <si>
    <t>ゆのかーらいる</t>
    <phoneticPr fontId="3"/>
  </si>
  <si>
    <t>19,</t>
    <phoneticPr fontId="3"/>
  </si>
  <si>
    <t>スイートトラップ</t>
    <phoneticPr fontId="3"/>
  </si>
  <si>
    <t>とにーうぇん</t>
    <phoneticPr fontId="3"/>
  </si>
  <si>
    <t>16+14+15</t>
    <phoneticPr fontId="3"/>
  </si>
  <si>
    <t>龍頭</t>
    <phoneticPr fontId="3"/>
  </si>
  <si>
    <t>ぎゃんぐま</t>
    <phoneticPr fontId="3"/>
  </si>
  <si>
    <t>17+14+16</t>
    <phoneticPr fontId="3"/>
  </si>
  <si>
    <t>怒りの千本ノック</t>
    <phoneticPr fontId="3"/>
  </si>
  <si>
    <t>ひめらぎゆきかぜ</t>
    <phoneticPr fontId="3"/>
  </si>
  <si>
    <t>引b1</t>
  </si>
  <si>
    <t>予18a+竜+17b</t>
    <rPh sb="0" eb="1">
      <t>ヨ</t>
    </rPh>
    <rPh sb="5" eb="6">
      <t>リュウ</t>
    </rPh>
    <phoneticPr fontId="3"/>
  </si>
  <si>
    <t>征服まーちんぐ♡</t>
    <phoneticPr fontId="3"/>
  </si>
  <si>
    <t>タイプ偉人・妖怪・名物の攻50％UP</t>
    <phoneticPr fontId="3"/>
  </si>
  <si>
    <t>うすばべるんしゅたいん</t>
    <phoneticPr fontId="3"/>
  </si>
  <si>
    <t>被験体緊縛</t>
    <phoneticPr fontId="3"/>
  </si>
  <si>
    <t>あぜがみありか</t>
    <phoneticPr fontId="3"/>
  </si>
  <si>
    <t>伝説の継承者</t>
    <phoneticPr fontId="3"/>
  </si>
  <si>
    <t>あぜみちかりん</t>
    <phoneticPr fontId="3"/>
  </si>
  <si>
    <t>幻惑フラワーガーデン</t>
    <phoneticPr fontId="3"/>
  </si>
  <si>
    <t>九州・沖縄</t>
    <rPh sb="0" eb="2">
      <t>キュウシュウ</t>
    </rPh>
    <rPh sb="3" eb="5">
      <t>オキナワ</t>
    </rPh>
    <phoneticPr fontId="3"/>
  </si>
  <si>
    <t>つるぎゆう</t>
    <phoneticPr fontId="3"/>
  </si>
  <si>
    <t>16+15+15</t>
    <phoneticPr fontId="3"/>
  </si>
  <si>
    <t>あやかしの戯れ</t>
    <phoneticPr fontId="3"/>
  </si>
  <si>
    <t>あまもりくずは</t>
    <phoneticPr fontId="3"/>
  </si>
  <si>
    <t>15,</t>
    <phoneticPr fontId="3"/>
  </si>
  <si>
    <t>予処15</t>
    <rPh sb="0" eb="1">
      <t>ヨ</t>
    </rPh>
    <rPh sb="1" eb="2">
      <t>ショ</t>
    </rPh>
    <phoneticPr fontId="3"/>
  </si>
  <si>
    <t>極寒の螺旋氷術</t>
    <phoneticPr fontId="3"/>
  </si>
  <si>
    <t>せいなりみや きらり</t>
    <phoneticPr fontId="3"/>
  </si>
  <si>
    <t>メリクリ乙女♪</t>
    <phoneticPr fontId="3"/>
  </si>
  <si>
    <t>せいさまんさばろーず</t>
    <phoneticPr fontId="3"/>
  </si>
  <si>
    <t>シャイターンバイブス</t>
    <phoneticPr fontId="3"/>
  </si>
  <si>
    <t>せいぶりじっとろーがん</t>
    <phoneticPr fontId="3"/>
  </si>
  <si>
    <t>ハッピースマイルイヴ</t>
    <phoneticPr fontId="3"/>
  </si>
  <si>
    <t>飲食</t>
  </si>
  <si>
    <t>くれすてぃるれいな</t>
  </si>
  <si>
    <t>こたつとお雑煮</t>
  </si>
  <si>
    <t>タイプ神秘・知性派の防50％UP　/　タイプ【飲食】の防35％UP</t>
  </si>
  <si>
    <t>偉人</t>
  </si>
  <si>
    <t>おやまだいさね</t>
  </si>
  <si>
    <t>着物武装</t>
  </si>
  <si>
    <t>タイプ妖怪・名物の防60％UP　/　タイプ【偉人】の防30％UP</t>
  </si>
  <si>
    <t>伝承</t>
  </si>
  <si>
    <t>たからづかまりも</t>
  </si>
  <si>
    <t>寂しがり屋な小悪魔</t>
  </si>
  <si>
    <t>タイプ伝承・武人・姫の攻30％UP　/　タイプ武人・妖怪・名物・偉人の防10％DOWN</t>
  </si>
  <si>
    <t>さおとめれいいち</t>
    <phoneticPr fontId="3"/>
  </si>
  <si>
    <t>爆走乙女</t>
    <phoneticPr fontId="3"/>
  </si>
  <si>
    <t>りゅうおういんさみだれ</t>
    <phoneticPr fontId="3"/>
  </si>
  <si>
    <t>悪魔のレシピ</t>
    <phoneticPr fontId="3"/>
  </si>
  <si>
    <t>ながどうあゆみ</t>
    <phoneticPr fontId="3"/>
  </si>
  <si>
    <t>恋の行方</t>
    <phoneticPr fontId="3"/>
  </si>
  <si>
    <t>タイプ知性派・飲食の攻15％UP　/　タイプ神秘・知性派・飲食の防30％DOWN</t>
  </si>
  <si>
    <t>予処19</t>
    <rPh sb="0" eb="1">
      <t>ヨ</t>
    </rPh>
    <rPh sb="1" eb="2">
      <t>ショ</t>
    </rPh>
    <phoneticPr fontId="3"/>
  </si>
  <si>
    <t>こうきどうがたぱとばとらー</t>
    <phoneticPr fontId="3"/>
  </si>
  <si>
    <t>18,15</t>
    <phoneticPr fontId="3"/>
  </si>
  <si>
    <t>どくたーめでぃっく</t>
    <phoneticPr fontId="3"/>
  </si>
  <si>
    <t>ふぁいあふぁいたー</t>
    <phoneticPr fontId="3"/>
  </si>
  <si>
    <t>16,</t>
    <phoneticPr fontId="3"/>
  </si>
  <si>
    <t>むてきせんかんやまと</t>
    <phoneticPr fontId="3"/>
  </si>
  <si>
    <t>すぺーすひめじぜっと</t>
    <phoneticPr fontId="3"/>
  </si>
  <si>
    <t>14,11</t>
    <phoneticPr fontId="3"/>
  </si>
  <si>
    <t>がんとりーくれーんまーくつー</t>
    <phoneticPr fontId="3"/>
  </si>
  <si>
    <t>15,14</t>
    <phoneticPr fontId="3"/>
  </si>
  <si>
    <t>白黒つける特大捜査</t>
    <phoneticPr fontId="3"/>
  </si>
  <si>
    <t>コンマ1秒の闘い</t>
    <phoneticPr fontId="3"/>
  </si>
  <si>
    <t>タイプ神秘・知性派・飲食の防45％UP</t>
    <phoneticPr fontId="3"/>
  </si>
  <si>
    <t>紅蓮の守護者</t>
    <phoneticPr fontId="3"/>
  </si>
  <si>
    <t>超弩級ムテキ戦艦ヤマト</t>
    <phoneticPr fontId="3"/>
  </si>
  <si>
    <t>宙に聳える白き羽瓦</t>
    <phoneticPr fontId="3"/>
  </si>
  <si>
    <t>その頂きに御業あり</t>
    <phoneticPr fontId="3"/>
  </si>
  <si>
    <t>ひすいつららつかいのやーま</t>
    <phoneticPr fontId="3"/>
  </si>
  <si>
    <t>18+14+(17+15)</t>
    <phoneticPr fontId="3"/>
  </si>
  <si>
    <t>氷のイリュージョン</t>
    <phoneticPr fontId="3"/>
  </si>
  <si>
    <t>ほうじょうのめがみふりっぐ</t>
    <phoneticPr fontId="3"/>
  </si>
  <si>
    <t>17+14+(16+15),15</t>
    <phoneticPr fontId="3"/>
  </si>
  <si>
    <t>慈愛の苺香</t>
    <phoneticPr fontId="3"/>
  </si>
  <si>
    <t>タイプ神秘・知性派・飲食の防20％UP</t>
    <phoneticPr fontId="3"/>
  </si>
  <si>
    <t>東日本</t>
    <rPh sb="0" eb="3">
      <t>ヒガシニホン</t>
    </rPh>
    <phoneticPr fontId="3"/>
  </si>
  <si>
    <t>とれろかもみろ</t>
    <phoneticPr fontId="3"/>
  </si>
  <si>
    <t>パソドブレ</t>
    <phoneticPr fontId="3"/>
  </si>
  <si>
    <t>タイプ偉人・妖怪・名物の攻20％UP</t>
    <phoneticPr fontId="3"/>
  </si>
  <si>
    <t>ぐれーてる</t>
    <phoneticPr fontId="3"/>
  </si>
  <si>
    <t>お菓子の行進</t>
    <phoneticPr fontId="3"/>
  </si>
  <si>
    <t>ぱゔぁーりあおうじょ</t>
  </si>
  <si>
    <t>マウアフォル</t>
  </si>
  <si>
    <t>タイプ【武人】の攻85％UP　/　タイプ姫・伝承の攻25％UP</t>
  </si>
  <si>
    <t>さんたおうこくないとめあ</t>
    <phoneticPr fontId="3"/>
  </si>
  <si>
    <t>無限算数ドリルの悪夢</t>
    <phoneticPr fontId="3"/>
  </si>
  <si>
    <t>じゆうのめがみまりあんぬ</t>
    <phoneticPr fontId="3"/>
  </si>
  <si>
    <t>信念の戦旗</t>
    <phoneticPr fontId="3"/>
  </si>
  <si>
    <t>西日本</t>
  </si>
  <si>
    <t>神秘</t>
  </si>
  <si>
    <t>らばんおんみょうのじおまんさー</t>
  </si>
  <si>
    <t>カウダ・ドラコニス</t>
  </si>
  <si>
    <t>タイプ神秘・知性派・飲食の防20％UP　/　タイプ神秘・知性派・飲食の攻75％DOWN</t>
  </si>
  <si>
    <t>れんごくのししゃぷらてあ</t>
    <phoneticPr fontId="3"/>
  </si>
  <si>
    <t>サジズムサイス</t>
    <phoneticPr fontId="3"/>
  </si>
  <si>
    <t>西日本</t>
    <rPh sb="0" eb="3">
      <t>ニシニホン</t>
    </rPh>
    <phoneticPr fontId="3"/>
  </si>
  <si>
    <t>ほしよみのてんもんがくしゃ</t>
    <phoneticPr fontId="3"/>
  </si>
  <si>
    <t>アストロリーディング</t>
    <phoneticPr fontId="3"/>
  </si>
  <si>
    <t>名物</t>
  </si>
  <si>
    <t>かえるで</t>
  </si>
  <si>
    <t>燃え上がる紅</t>
  </si>
  <si>
    <t>タイプ偉人・妖怪・名物の防35％UP　/　タイプ伝承・武人・姫の攻10％DOWN</t>
  </si>
  <si>
    <t>せきえんのとりす</t>
    <phoneticPr fontId="3"/>
  </si>
  <si>
    <t>怒濤焰斧</t>
    <phoneticPr fontId="3"/>
  </si>
  <si>
    <t>さんたおうこくさんたくいーん</t>
    <phoneticPr fontId="3"/>
  </si>
  <si>
    <t>サンタ王妃の多忙な一日</t>
    <phoneticPr fontId="3"/>
  </si>
  <si>
    <t>知性派</t>
  </si>
  <si>
    <t>あげはみしぇるー</t>
  </si>
  <si>
    <t>可憐な羽ばたき</t>
  </si>
  <si>
    <t>タイプ【神秘】の防30％UP　/　タイプ知性派・飲食の防15％UP</t>
  </si>
  <si>
    <t>東日本</t>
  </si>
  <si>
    <t>えれめんたらー</t>
  </si>
  <si>
    <t>魔女見習い</t>
    <phoneticPr fontId="3"/>
  </si>
  <si>
    <t>ぐーら</t>
    <phoneticPr fontId="3"/>
  </si>
  <si>
    <t>おかわり！</t>
    <phoneticPr fontId="3"/>
  </si>
  <si>
    <t>14,14</t>
    <phoneticPr fontId="3"/>
  </si>
  <si>
    <t>たかつかさきさき</t>
    <phoneticPr fontId="3"/>
  </si>
  <si>
    <t>おうじょうよい</t>
    <phoneticPr fontId="3"/>
  </si>
  <si>
    <t>さめじまあきら</t>
    <phoneticPr fontId="3"/>
  </si>
  <si>
    <t>欲望のままに我侭に</t>
    <phoneticPr fontId="3"/>
  </si>
  <si>
    <t>暴虐女帝の君臨</t>
    <phoneticPr fontId="3"/>
  </si>
  <si>
    <t>特権階級の号令</t>
    <phoneticPr fontId="3"/>
  </si>
  <si>
    <t>北海道・東北</t>
  </si>
  <si>
    <t>西日本→全国</t>
    <rPh sb="0" eb="1">
      <t>ニシ</t>
    </rPh>
    <rPh sb="1" eb="3">
      <t>ニホン</t>
    </rPh>
    <rPh sb="4" eb="6">
      <t>ゼンコク</t>
    </rPh>
    <phoneticPr fontId="3"/>
  </si>
  <si>
    <t>無所属→全国</t>
    <rPh sb="0" eb="3">
      <t>ムショゾク</t>
    </rPh>
    <rPh sb="4" eb="6">
      <t>ゼンコク</t>
    </rPh>
    <phoneticPr fontId="3"/>
  </si>
  <si>
    <t>東日本→全国</t>
    <rPh sb="0" eb="1">
      <t>ヒガシ</t>
    </rPh>
    <rPh sb="1" eb="3">
      <t>ニホン</t>
    </rPh>
    <phoneticPr fontId="3"/>
  </si>
  <si>
    <t>東日本→全国</t>
    <rPh sb="0" eb="3">
      <t>ヒガシニホン</t>
    </rPh>
    <rPh sb="4" eb="6">
      <t>ゼンコク</t>
    </rPh>
    <phoneticPr fontId="3"/>
  </si>
  <si>
    <t>東日本→全国</t>
    <rPh sb="0" eb="6">
      <t>ヒガシニホンミギゼンコク</t>
    </rPh>
    <phoneticPr fontId="3"/>
  </si>
  <si>
    <t>西日本→全国</t>
    <rPh sb="0" eb="3">
      <t>ニシニホン</t>
    </rPh>
    <rPh sb="4" eb="6">
      <t>ゼンコク</t>
    </rPh>
    <phoneticPr fontId="3"/>
  </si>
  <si>
    <t>無所属</t>
    <rPh sb="0" eb="3">
      <t>ムショゾク</t>
    </rPh>
    <phoneticPr fontId="3"/>
  </si>
  <si>
    <t>蠣崎季広</t>
    <rPh sb="0" eb="2">
      <t>カキザキ</t>
    </rPh>
    <rPh sb="2" eb="4">
      <t>スエヒロ</t>
    </rPh>
    <phoneticPr fontId="3"/>
  </si>
  <si>
    <t>きたのぶちか</t>
    <phoneticPr fontId="3"/>
  </si>
  <si>
    <t>ほんめいちょこだてまさむね</t>
    <phoneticPr fontId="3"/>
  </si>
  <si>
    <t>23,21,20,20,16,15</t>
    <phoneticPr fontId="3"/>
  </si>
  <si>
    <t>19+?+?,15,15</t>
    <phoneticPr fontId="3"/>
  </si>
  <si>
    <t>がんたんふくひめ</t>
    <phoneticPr fontId="3"/>
  </si>
  <si>
    <t>18+16+(18+16),13,14,15,15</t>
    <phoneticPr fontId="3"/>
  </si>
  <si>
    <t>おはなみまてひめ</t>
    <phoneticPr fontId="3"/>
  </si>
  <si>
    <t>16,14</t>
    <phoneticPr fontId="3"/>
  </si>
  <si>
    <t>おもちゃあわりてぃあ</t>
  </si>
  <si>
    <t>18,</t>
    <phoneticPr fontId="3"/>
  </si>
  <si>
    <t>むかでひめ</t>
    <phoneticPr fontId="3"/>
  </si>
  <si>
    <t>15,10</t>
    <phoneticPr fontId="3"/>
  </si>
  <si>
    <t>まねきねこおつるみょうじん</t>
  </si>
  <si>
    <t>22,</t>
    <phoneticPr fontId="3"/>
  </si>
  <si>
    <t>よんしゅうねんつららおんな</t>
    <phoneticPr fontId="3"/>
  </si>
  <si>
    <t>16+14+(15+15),14</t>
    <phoneticPr fontId="3"/>
  </si>
  <si>
    <t>はごいたたいせんまつかわひめ</t>
    <phoneticPr fontId="3"/>
  </si>
  <si>
    <t>25,</t>
    <phoneticPr fontId="3"/>
  </si>
  <si>
    <t>とうやこ</t>
    <phoneticPr fontId="3"/>
  </si>
  <si>
    <t>おへやだりあ</t>
    <phoneticPr fontId="3"/>
  </si>
  <si>
    <t>18+14+(17+15),15</t>
    <phoneticPr fontId="3"/>
  </si>
  <si>
    <t>たなばたあきたいぬくん</t>
    <phoneticPr fontId="3"/>
  </si>
  <si>
    <t>21+20+20</t>
    <phoneticPr fontId="3"/>
  </si>
  <si>
    <t>しんせいはっかちゃん</t>
    <phoneticPr fontId="3"/>
  </si>
  <si>
    <t>20+竜+20</t>
    <rPh sb="3" eb="4">
      <t>リュウ</t>
    </rPh>
    <phoneticPr fontId="3"/>
  </si>
  <si>
    <t>ちょこのひどさんこちゃん</t>
  </si>
  <si>
    <t>26+竜+25</t>
    <rPh sb="3" eb="4">
      <t>リュウ</t>
    </rPh>
    <phoneticPr fontId="3"/>
  </si>
  <si>
    <t>10,</t>
    <phoneticPr fontId="3"/>
  </si>
  <si>
    <t>おりょうりそのべひでお</t>
    <phoneticPr fontId="3"/>
  </si>
  <si>
    <t>じゅうきふじわらのきよひら</t>
  </si>
  <si>
    <t>ひびきわたるねいろそのべひでお</t>
  </si>
  <si>
    <t>17+?+?,15</t>
    <phoneticPr fontId="3"/>
  </si>
  <si>
    <t>しつじきっさながさわろせつ</t>
    <phoneticPr fontId="3"/>
  </si>
  <si>
    <t>ゆかたまつりそのべひでお</t>
  </si>
  <si>
    <t>24,21,15</t>
    <phoneticPr fontId="3"/>
  </si>
  <si>
    <t>ちゃんちゃんやき</t>
    <phoneticPr fontId="3"/>
  </si>
  <si>
    <t>はろうぃんからぐちにほんしゅちゃん</t>
  </si>
  <si>
    <t>21,19</t>
    <phoneticPr fontId="3"/>
  </si>
  <si>
    <t>きゅーぴっどとみぬしひめ</t>
    <phoneticPr fontId="3"/>
  </si>
  <si>
    <t>みついしのかみ</t>
    <phoneticPr fontId="3"/>
  </si>
  <si>
    <t>みなづけこんとみぬしひめ</t>
    <phoneticPr fontId="3"/>
  </si>
  <si>
    <t>ぱよかかむい</t>
  </si>
  <si>
    <t>19,19,19,16,16</t>
    <phoneticPr fontId="3"/>
  </si>
  <si>
    <t>うんどうかいたかむらちえこ</t>
    <phoneticPr fontId="3"/>
  </si>
  <si>
    <t>17,14</t>
    <phoneticPr fontId="3"/>
  </si>
  <si>
    <t>やまかわふたば</t>
    <phoneticPr fontId="3"/>
  </si>
  <si>
    <t>18,14</t>
    <phoneticPr fontId="3"/>
  </si>
  <si>
    <t>ひょうけつのにくすとぱとろーる</t>
    <phoneticPr fontId="3"/>
  </si>
  <si>
    <t>しょくぎょうたいけんあかいてるこ</t>
    <phoneticPr fontId="3"/>
  </si>
  <si>
    <t>16,15</t>
    <phoneticPr fontId="3"/>
  </si>
  <si>
    <t>ねんまつおおそうじちばえいじろう</t>
    <phoneticPr fontId="3"/>
  </si>
  <si>
    <t>いせひめ</t>
    <phoneticPr fontId="3"/>
  </si>
  <si>
    <t>19+17+(18+18),14</t>
    <phoneticPr fontId="3"/>
  </si>
  <si>
    <t>げいしゅんゆらみょういんに</t>
  </si>
  <si>
    <t>だいこうかいじだいなんそうさとみはっけんでん</t>
    <phoneticPr fontId="3"/>
  </si>
  <si>
    <t>24,23,23</t>
    <phoneticPr fontId="3"/>
  </si>
  <si>
    <t>18+16+(17+16),15,15,15</t>
    <phoneticPr fontId="3"/>
  </si>
  <si>
    <t>しらずやわたのもり</t>
    <phoneticPr fontId="3"/>
  </si>
  <si>
    <t>とうぎじょうせすたす</t>
    <phoneticPr fontId="3"/>
  </si>
  <si>
    <t>20,</t>
    <phoneticPr fontId="3"/>
  </si>
  <si>
    <t>しゅうかくさいおおかみしょうじょ</t>
    <phoneticPr fontId="3"/>
  </si>
  <si>
    <t>かじゅえんふるつばきのれい</t>
    <phoneticPr fontId="3"/>
  </si>
  <si>
    <t>21+16+20</t>
    <phoneticPr fontId="3"/>
  </si>
  <si>
    <t>れーすくいーんたまものまえ</t>
  </si>
  <si>
    <t>17,16</t>
    <phoneticPr fontId="3"/>
  </si>
  <si>
    <t>18+?+?</t>
    <phoneticPr fontId="3"/>
  </si>
  <si>
    <t>おにきりしゅうごーるど</t>
    <phoneticPr fontId="3"/>
  </si>
  <si>
    <t>ちゃやむすめかんだまつり</t>
  </si>
  <si>
    <t>16,16</t>
    <phoneticPr fontId="3"/>
  </si>
  <si>
    <t>ひなまつりらっこ</t>
    <phoneticPr fontId="3"/>
  </si>
  <si>
    <t>てらだとらひこ</t>
    <phoneticPr fontId="3"/>
  </si>
  <si>
    <t>16,15,15,15</t>
    <phoneticPr fontId="3"/>
  </si>
  <si>
    <t>田中正造</t>
    <rPh sb="0" eb="2">
      <t>タナカ</t>
    </rPh>
    <rPh sb="2" eb="4">
      <t>ショウゾウ</t>
    </rPh>
    <phoneticPr fontId="3"/>
  </si>
  <si>
    <t>びきにがーるてんえいいん</t>
  </si>
  <si>
    <t>23+19+22</t>
    <phoneticPr fontId="3"/>
  </si>
  <si>
    <t>かるたてんえいいん</t>
    <phoneticPr fontId="3"/>
  </si>
  <si>
    <t>あんみつちゃん</t>
    <phoneticPr fontId="3"/>
  </si>
  <si>
    <t>ぶろーどうぇいいまがわやき</t>
    <phoneticPr fontId="3"/>
  </si>
  <si>
    <t>【紫陽花】クシナダヒメ</t>
    <rPh sb="1" eb="4">
      <t>アジサイ</t>
    </rPh>
    <phoneticPr fontId="3"/>
  </si>
  <si>
    <t>長白羽神</t>
    <rPh sb="0" eb="1">
      <t>ナガ</t>
    </rPh>
    <rPh sb="1" eb="2">
      <t>シロ</t>
    </rPh>
    <rPh sb="2" eb="3">
      <t>ハネ</t>
    </rPh>
    <rPh sb="3" eb="4">
      <t>カミ</t>
    </rPh>
    <phoneticPr fontId="3"/>
  </si>
  <si>
    <t>ながしらはのかみ</t>
    <phoneticPr fontId="3"/>
  </si>
  <si>
    <t>天魔</t>
    <rPh sb="0" eb="2">
      <t>テンマ</t>
    </rPh>
    <phoneticPr fontId="3"/>
  </si>
  <si>
    <t>ようかいたいせんくしなだひめ</t>
    <phoneticPr fontId="3"/>
  </si>
  <si>
    <t>21+17+20</t>
    <phoneticPr fontId="3"/>
  </si>
  <si>
    <t>【海開き】春日局</t>
    <rPh sb="1" eb="3">
      <t>ウミビラ</t>
    </rPh>
    <rPh sb="5" eb="8">
      <t>カスガノツボネ</t>
    </rPh>
    <phoneticPr fontId="3"/>
  </si>
  <si>
    <t>うみびらきかすがのつぼね</t>
    <phoneticPr fontId="3"/>
  </si>
  <si>
    <t>あんどろいどふうまこたろう</t>
    <phoneticPr fontId="3"/>
  </si>
  <si>
    <t>18+14+(16+15),11,13</t>
    <phoneticPr fontId="3"/>
  </si>
  <si>
    <t>ばいくおだのぶなが</t>
    <phoneticPr fontId="3"/>
  </si>
  <si>
    <t>うみびらきともえごぜん</t>
    <phoneticPr fontId="3"/>
  </si>
  <si>
    <t>21+15+(16+16),14,14</t>
    <phoneticPr fontId="3"/>
  </si>
  <si>
    <t>おてんきのおねえさんまつしたおとめ</t>
    <phoneticPr fontId="3"/>
  </si>
  <si>
    <t>22,20</t>
    <phoneticPr fontId="3"/>
  </si>
  <si>
    <t>ねこまたいなり</t>
    <phoneticPr fontId="3"/>
  </si>
  <si>
    <t>19+15+15</t>
    <phoneticPr fontId="3"/>
  </si>
  <si>
    <t>そうせいきのかいん</t>
    <phoneticPr fontId="3"/>
  </si>
  <si>
    <t>おにきりしゅうくろひめ</t>
    <phoneticPr fontId="3"/>
  </si>
  <si>
    <t>かじゅえんくろひめ</t>
  </si>
  <si>
    <t>19+竜+19</t>
    <rPh sb="3" eb="4">
      <t>リュウ</t>
    </rPh>
    <phoneticPr fontId="3"/>
  </si>
  <si>
    <t>ゆうせいくろゆりでんせつ</t>
  </si>
  <si>
    <t>20,19</t>
    <phoneticPr fontId="3"/>
  </si>
  <si>
    <t>【バーレスク】クビワコウモリちゃん</t>
    <phoneticPr fontId="3"/>
  </si>
  <si>
    <t>ばーれすくくびわこうもりちゃん</t>
    <phoneticPr fontId="3"/>
  </si>
  <si>
    <t>おんせんぱにっくこうていぺんぎんちゃん</t>
    <phoneticPr fontId="3"/>
  </si>
  <si>
    <t>15+14+14</t>
    <phoneticPr fontId="3"/>
  </si>
  <si>
    <t>とうじんぼう</t>
    <phoneticPr fontId="3"/>
  </si>
  <si>
    <t>ゆきのさいてんぼでぃこんちゃん</t>
    <phoneticPr fontId="3"/>
  </si>
  <si>
    <t>じょうばやまかわとみこ</t>
    <phoneticPr fontId="3"/>
  </si>
  <si>
    <t>げいしゅんやまかわとみこ</t>
    <phoneticPr fontId="3"/>
  </si>
  <si>
    <t>きゅーぴっどおだいのかた</t>
    <phoneticPr fontId="3"/>
  </si>
  <si>
    <t>16(↑19)+11+13</t>
    <phoneticPr fontId="3"/>
  </si>
  <si>
    <t>せつぶんおだいのかた</t>
    <phoneticPr fontId="3"/>
  </si>
  <si>
    <t>18+15+(18+18),14,15,15</t>
    <phoneticPr fontId="3"/>
  </si>
  <si>
    <t>しんせいげいしゅんやまかわとみこ</t>
    <phoneticPr fontId="3"/>
  </si>
  <si>
    <t>21,</t>
    <phoneticPr fontId="3"/>
  </si>
  <si>
    <t>ちょこのひとよたけろしょう</t>
  </si>
  <si>
    <t>25+竜+24</t>
    <rPh sb="3" eb="4">
      <t>リュウ</t>
    </rPh>
    <phoneticPr fontId="3"/>
  </si>
  <si>
    <t>おとまりじょしかいたいやきちゃん</t>
  </si>
  <si>
    <t>【ビキニガール】夜叉龍神</t>
  </si>
  <si>
    <t>かないのぶる</t>
    <phoneticPr fontId="3"/>
  </si>
  <si>
    <t>なつまつりいくまつ</t>
    <phoneticPr fontId="3"/>
  </si>
  <si>
    <t>ぎりしあしんわふじわらときひめ</t>
    <phoneticPr fontId="3"/>
  </si>
  <si>
    <t>【妖艶】千草</t>
    <phoneticPr fontId="3"/>
  </si>
  <si>
    <t>ようえんちぐさ</t>
    <phoneticPr fontId="3"/>
  </si>
  <si>
    <t>おみきかんのん</t>
    <phoneticPr fontId="3"/>
  </si>
  <si>
    <t>わらしべちょうじゃ</t>
    <phoneticPr fontId="3"/>
  </si>
  <si>
    <t>こいのぼりこうみょうこうごう</t>
    <phoneticPr fontId="3"/>
  </si>
  <si>
    <t>18,18,15</t>
    <phoneticPr fontId="3"/>
  </si>
  <si>
    <t>みきもとこうきち</t>
    <phoneticPr fontId="3"/>
  </si>
  <si>
    <t>15,15,15</t>
    <phoneticPr fontId="3"/>
  </si>
  <si>
    <t>だるまいちつきみざけちゃん</t>
    <phoneticPr fontId="3"/>
  </si>
  <si>
    <t>はんざいおうぱーかーばろう</t>
    <phoneticPr fontId="3"/>
  </si>
  <si>
    <t>ささきこじろう</t>
    <phoneticPr fontId="3"/>
  </si>
  <si>
    <t>せつぶんぱにっくみむらつる</t>
    <phoneticPr fontId="3"/>
  </si>
  <si>
    <t>23+17+(20+18),14,16,17,竜 19(↑進化前+3)+15+(19+17),14,15,竜,竜</t>
    <rPh sb="23" eb="24">
      <t>リュウ</t>
    </rPh>
    <rPh sb="29" eb="31">
      <t>シンカ</t>
    </rPh>
    <rPh sb="31" eb="32">
      <t>マエ</t>
    </rPh>
    <rPh sb="53" eb="54">
      <t>リュウ</t>
    </rPh>
    <rPh sb="55" eb="56">
      <t>リュウ</t>
    </rPh>
    <phoneticPr fontId="3"/>
  </si>
  <si>
    <t>かがわゆきかげ</t>
    <phoneticPr fontId="3"/>
  </si>
  <si>
    <t>22+竜+(16+15),竜,竜,竜,竜</t>
    <rPh sb="3" eb="4">
      <t>リュウ</t>
    </rPh>
    <phoneticPr fontId="3"/>
  </si>
  <si>
    <t>こうざいよしきよ</t>
    <phoneticPr fontId="3"/>
  </si>
  <si>
    <t>22+竜+(15+14),竜,竜,竜,竜</t>
    <rPh sb="3" eb="4">
      <t>リュウ</t>
    </rPh>
    <rPh sb="13" eb="14">
      <t>リュウ</t>
    </rPh>
    <rPh sb="15" eb="16">
      <t>リュウ</t>
    </rPh>
    <phoneticPr fontId="3"/>
  </si>
  <si>
    <t>あきくにとら</t>
    <phoneticPr fontId="3"/>
  </si>
  <si>
    <t>うらがみまさむね</t>
    <phoneticPr fontId="3"/>
  </si>
  <si>
    <t>しちふくじんおろちのむしゃ</t>
  </si>
  <si>
    <t>22+竜+絶大,竜,竜,竜,竜 19+?+?,竜,竜,竜,竜</t>
    <rPh sb="3" eb="4">
      <t>リュウ</t>
    </rPh>
    <rPh sb="5" eb="7">
      <t>ゼツダイ</t>
    </rPh>
    <rPh sb="8" eb="9">
      <t>リュウ</t>
    </rPh>
    <rPh sb="10" eb="11">
      <t>リュウ</t>
    </rPh>
    <rPh sb="12" eb="13">
      <t>リュウ</t>
    </rPh>
    <rPh sb="14" eb="15">
      <t>リュウ</t>
    </rPh>
    <rPh sb="23" eb="24">
      <t>リュウ</t>
    </rPh>
    <rPh sb="25" eb="26">
      <t>リュウ</t>
    </rPh>
    <rPh sb="27" eb="28">
      <t>リュウ</t>
    </rPh>
    <rPh sb="29" eb="30">
      <t>リュウ</t>
    </rPh>
    <phoneticPr fontId="3"/>
  </si>
  <si>
    <t>かじゅえんみむらつる</t>
  </si>
  <si>
    <t>23+竜+(21+19),竜,竜,竜,竜</t>
    <rPh sb="3" eb="4">
      <t>リュウ</t>
    </rPh>
    <phoneticPr fontId="3"/>
  </si>
  <si>
    <t>てんにょひめ</t>
    <phoneticPr fontId="3"/>
  </si>
  <si>
    <t>15+?+?,?,?,?,?</t>
    <phoneticPr fontId="3"/>
  </si>
  <si>
    <t>すぱりぞーとみむらつる</t>
    <phoneticPr fontId="3"/>
  </si>
  <si>
    <t>17+?+?,?,?</t>
    <phoneticPr fontId="3"/>
  </si>
  <si>
    <t>いーすたーばにーごうひめ</t>
    <phoneticPr fontId="3"/>
  </si>
  <si>
    <t>18,15,13,11</t>
    <phoneticPr fontId="3"/>
  </si>
  <si>
    <t>みなづきこんごりゅうのつぼね</t>
    <phoneticPr fontId="3"/>
  </si>
  <si>
    <t>15(↑進化後+3)+?+?,?,竜,竜,竜</t>
    <rPh sb="4" eb="6">
      <t>シンカ</t>
    </rPh>
    <rPh sb="6" eb="7">
      <t>ゴ</t>
    </rPh>
    <rPh sb="17" eb="18">
      <t>リュウ</t>
    </rPh>
    <phoneticPr fontId="3"/>
  </si>
  <si>
    <t>てんゆうえいじゅ</t>
    <phoneticPr fontId="3"/>
  </si>
  <si>
    <t>ゆけむりようぜんいん</t>
  </si>
  <si>
    <t>とれじゃーももたろう</t>
    <phoneticPr fontId="3"/>
  </si>
  <si>
    <t>ばーれすくやがみひめ</t>
    <phoneticPr fontId="3"/>
  </si>
  <si>
    <t>17+?+?,?,?,?,?</t>
    <phoneticPr fontId="3"/>
  </si>
  <si>
    <t>まじゅつしつるのおんがえし</t>
  </si>
  <si>
    <t>はろうぃんつるのおんがえし</t>
    <phoneticPr fontId="3"/>
  </si>
  <si>
    <t>びきにがーるやがみひめ</t>
  </si>
  <si>
    <t>24+19+(22+22),竜,竜,竜,竜 23+18+(22+22),竜,竜,竜,竜</t>
    <phoneticPr fontId="3"/>
  </si>
  <si>
    <t>ちょこのひさんごいろ</t>
  </si>
  <si>
    <t>いぬがみぎょうぶ</t>
    <phoneticPr fontId="3"/>
  </si>
  <si>
    <t>もうりょう</t>
    <phoneticPr fontId="3"/>
  </si>
  <si>
    <t>おべんとうねこだぬき</t>
  </si>
  <si>
    <t>げいしゅんばけだぬき</t>
    <phoneticPr fontId="3"/>
  </si>
  <si>
    <t>21+?+?</t>
    <phoneticPr fontId="3"/>
  </si>
  <si>
    <t>おんせんやどもうりょう</t>
    <phoneticPr fontId="3"/>
  </si>
  <si>
    <t>23+13+(17+16)</t>
    <phoneticPr fontId="3"/>
  </si>
  <si>
    <t>けものみずぎことひらぐうちゃん</t>
    <phoneticPr fontId="3"/>
  </si>
  <si>
    <t>すのーぐらびあしるばーあくせちゃん</t>
    <phoneticPr fontId="3"/>
  </si>
  <si>
    <t>19+?+? 17+?+?</t>
    <phoneticPr fontId="3"/>
  </si>
  <si>
    <t>まるかめじょう</t>
  </si>
  <si>
    <t>にゅうがくしきしるばーあくせちゃん</t>
    <phoneticPr fontId="3"/>
  </si>
  <si>
    <t>ゆきのうたあわおどり</t>
    <phoneticPr fontId="3"/>
  </si>
  <si>
    <t>20(↑進化前+3)+?+(?+?),12,11,15,竜 18+?+(?+?),?,?,?,?</t>
    <rPh sb="4" eb="6">
      <t>シンカ</t>
    </rPh>
    <rPh sb="6" eb="7">
      <t>マエ</t>
    </rPh>
    <rPh sb="28" eb="29">
      <t>リュウ</t>
    </rPh>
    <phoneticPr fontId="3"/>
  </si>
  <si>
    <t>くのいちくまのふでちゃん</t>
  </si>
  <si>
    <t>せいりゅうめぐりあかしれじーな</t>
    <phoneticPr fontId="3"/>
  </si>
  <si>
    <t>17+?+?</t>
    <phoneticPr fontId="3"/>
  </si>
  <si>
    <t>ぽっぷくりすますいずものおくに</t>
    <phoneticPr fontId="3"/>
  </si>
  <si>
    <t>16,16,15</t>
    <phoneticPr fontId="3"/>
  </si>
  <si>
    <t>17+16+(17+16),14,14,14,14</t>
    <phoneticPr fontId="3"/>
  </si>
  <si>
    <t>らいしゅんすい</t>
    <phoneticPr fontId="3"/>
  </si>
  <si>
    <t>14,14,10</t>
    <phoneticPr fontId="3"/>
  </si>
  <si>
    <t>くりすますぱーてぃかねこみすず</t>
    <phoneticPr fontId="3"/>
  </si>
  <si>
    <t>21+16+(20+17),15,15,16,16, 18(↑進化後21)+14+(18+16)</t>
    <rPh sb="31" eb="33">
      <t>シンカ</t>
    </rPh>
    <rPh sb="33" eb="34">
      <t>ゴ</t>
    </rPh>
    <phoneticPr fontId="3"/>
  </si>
  <si>
    <t>つきみざけいずものおくに</t>
    <phoneticPr fontId="3"/>
  </si>
  <si>
    <t>23+竜+絶大,竜,竜,竜,竜 19(↑進化後+3)+15+(18+16),竜,竜,竜,竜</t>
    <rPh sb="3" eb="4">
      <t>リュウ</t>
    </rPh>
    <rPh sb="5" eb="7">
      <t>ゼツダイ</t>
    </rPh>
    <rPh sb="8" eb="9">
      <t>リュウ</t>
    </rPh>
    <rPh sb="10" eb="11">
      <t>リュウ</t>
    </rPh>
    <rPh sb="12" eb="13">
      <t>リュウ</t>
    </rPh>
    <rPh sb="14" eb="15">
      <t>リュウ</t>
    </rPh>
    <rPh sb="19" eb="20">
      <t>カ</t>
    </rPh>
    <rPh sb="20" eb="22">
      <t>シンカ</t>
    </rPh>
    <phoneticPr fontId="3"/>
  </si>
  <si>
    <t>ちちのひあかしれじーな</t>
  </si>
  <si>
    <t>かいとうきういふるーつちゃん</t>
    <phoneticPr fontId="3"/>
  </si>
  <si>
    <t>21(↑進化前+3)+?+(?+?),?,?,?,? 18+?+(?+?),?,?,?,?</t>
    <rPh sb="4" eb="6">
      <t>シンカ</t>
    </rPh>
    <rPh sb="6" eb="7">
      <t>マエ</t>
    </rPh>
    <phoneticPr fontId="3"/>
  </si>
  <si>
    <t>でみかつどん</t>
  </si>
  <si>
    <t>18+?+?,15,竜,竜,竜</t>
    <phoneticPr fontId="3"/>
  </si>
  <si>
    <t>れーすくいーんめろんぱん</t>
    <phoneticPr fontId="3"/>
  </si>
  <si>
    <t>16+?+?</t>
    <phoneticPr fontId="3"/>
  </si>
  <si>
    <t>しんりょくのきせつめろんぱん</t>
    <phoneticPr fontId="3"/>
  </si>
  <si>
    <t>はろうぃんぱんぷきんくいーん</t>
    <phoneticPr fontId="3"/>
  </si>
  <si>
    <t>ゆかたすせりびめ</t>
    <phoneticPr fontId="3"/>
  </si>
  <si>
    <t>しつじきっさきびのあなわたりのかみ</t>
    <phoneticPr fontId="3"/>
  </si>
  <si>
    <t>あめのおしほみみ</t>
    <phoneticPr fontId="3"/>
  </si>
  <si>
    <t>よいごこちいずものおくに</t>
    <phoneticPr fontId="3"/>
  </si>
  <si>
    <t>15+?</t>
    <phoneticPr fontId="3"/>
  </si>
  <si>
    <t>おしょうがつこいずみやくも</t>
    <phoneticPr fontId="3"/>
  </si>
  <si>
    <t>25+竜+(23+竜)</t>
    <rPh sb="3" eb="4">
      <t>リュウ</t>
    </rPh>
    <rPh sb="9" eb="10">
      <t>リュウ</t>
    </rPh>
    <phoneticPr fontId="3"/>
  </si>
  <si>
    <t>そうよしとし</t>
    <phoneticPr fontId="3"/>
  </si>
  <si>
    <t>11,</t>
    <phoneticPr fontId="3"/>
  </si>
  <si>
    <t>あめのはなよめみょうりんに</t>
    <phoneticPr fontId="3"/>
  </si>
  <si>
    <t>21,16</t>
    <phoneticPr fontId="3"/>
  </si>
  <si>
    <t>はろうぃんたちばなむねしげ</t>
    <phoneticPr fontId="3"/>
  </si>
  <si>
    <t>にいろただもと</t>
    <phoneticPr fontId="3"/>
  </si>
  <si>
    <t>いとひめ</t>
    <phoneticPr fontId="3"/>
  </si>
  <si>
    <t>きゅうすくみずたちばなぎんちよ</t>
    <phoneticPr fontId="3"/>
  </si>
  <si>
    <t>しろきつねのおおしばい</t>
    <phoneticPr fontId="3"/>
  </si>
  <si>
    <t>でんしゃがーるさきょうがばしのへび</t>
  </si>
  <si>
    <t>24,20,20,17,16,15,15,15</t>
    <phoneticPr fontId="3"/>
  </si>
  <si>
    <t>つゆろまんたつくちなわ</t>
    <phoneticPr fontId="3"/>
  </si>
  <si>
    <t>はいからもみじびーどろざいくちゃん</t>
    <phoneticPr fontId="3"/>
  </si>
  <si>
    <t>みなづきこんくすもといね</t>
    <phoneticPr fontId="3"/>
  </si>
  <si>
    <t>【遊園地ハザード】神功皇后</t>
  </si>
  <si>
    <t>20+17+20,17</t>
    <phoneticPr fontId="3"/>
  </si>
  <si>
    <t>カカオちゃん</t>
    <phoneticPr fontId="3"/>
  </si>
  <si>
    <t>かかおちゃん</t>
    <phoneticPr fontId="3"/>
  </si>
  <si>
    <t>おにきりしゅうよりよりちゃん</t>
    <phoneticPr fontId="3"/>
  </si>
  <si>
    <t>しんせいおにきりしゅうよりよりちゃん</t>
  </si>
  <si>
    <t>20+竜+竜</t>
    <rPh sb="3" eb="4">
      <t>リュウ</t>
    </rPh>
    <rPh sb="5" eb="6">
      <t>リュウ</t>
    </rPh>
    <phoneticPr fontId="3"/>
  </si>
  <si>
    <t>けものみずぎたかちほのみね</t>
    <phoneticPr fontId="3"/>
  </si>
  <si>
    <t>せつぶんはにやす</t>
    <phoneticPr fontId="3"/>
  </si>
  <si>
    <t>24+竜+22</t>
    <rPh sb="3" eb="4">
      <t>リュウ</t>
    </rPh>
    <phoneticPr fontId="3"/>
  </si>
  <si>
    <t>たろっとかめいしょうきん</t>
    <phoneticPr fontId="3"/>
  </si>
  <si>
    <t>19+竜+17</t>
    <rPh sb="3" eb="4">
      <t>リュウ</t>
    </rPh>
    <phoneticPr fontId="3"/>
  </si>
  <si>
    <t>伊東一刀斎</t>
    <rPh sb="0" eb="2">
      <t>イトウ</t>
    </rPh>
    <rPh sb="2" eb="4">
      <t>イットウ</t>
    </rPh>
    <rPh sb="4" eb="5">
      <t>サイ</t>
    </rPh>
    <phoneticPr fontId="3"/>
  </si>
  <si>
    <t>いとういっとうさい</t>
    <phoneticPr fontId="3"/>
  </si>
  <si>
    <t>きたじょうかげひろ</t>
    <phoneticPr fontId="3"/>
  </si>
  <si>
    <t>23,22,19,17,17,17,17,16,15,15,15,15,14</t>
    <phoneticPr fontId="3"/>
  </si>
  <si>
    <t>まだんのてぃるそるしえーる</t>
  </si>
  <si>
    <t>22,22,16,15,15</t>
    <phoneticPr fontId="3"/>
  </si>
  <si>
    <t>【極姫】お市の方</t>
    <rPh sb="1" eb="2">
      <t>ゴク</t>
    </rPh>
    <rPh sb="2" eb="3">
      <t>ヒメ</t>
    </rPh>
    <rPh sb="5" eb="6">
      <t>イチ</t>
    </rPh>
    <rPh sb="7" eb="8">
      <t>カタ</t>
    </rPh>
    <phoneticPr fontId="3"/>
  </si>
  <si>
    <t>ごくひめおいちのかた</t>
    <phoneticPr fontId="3"/>
  </si>
  <si>
    <t>きりゅうひめえいれん</t>
    <phoneticPr fontId="3"/>
  </si>
  <si>
    <t>22,20,16,15,15</t>
    <phoneticPr fontId="3"/>
  </si>
  <si>
    <t>21+17+(20+18)</t>
    <phoneticPr fontId="3"/>
  </si>
  <si>
    <t>ぷーるちゃちゃ</t>
    <phoneticPr fontId="3"/>
  </si>
  <si>
    <t>22+19+(20+20),15,15</t>
    <phoneticPr fontId="3"/>
  </si>
  <si>
    <t>【幕末】金太郎</t>
    <rPh sb="1" eb="3">
      <t>バクマツ</t>
    </rPh>
    <rPh sb="4" eb="7">
      <t>キンタロウ</t>
    </rPh>
    <phoneticPr fontId="3"/>
  </si>
  <si>
    <t>ばくまつきんたろう</t>
    <phoneticPr fontId="3"/>
  </si>
  <si>
    <t>万寿姫</t>
    <rPh sb="0" eb="2">
      <t>マンジュ</t>
    </rPh>
    <rPh sb="2" eb="3">
      <t>ヒメ</t>
    </rPh>
    <phoneticPr fontId="3"/>
  </si>
  <si>
    <t>まんじゅひめ</t>
    <phoneticPr fontId="3"/>
  </si>
  <si>
    <t>19+17+(18+17)</t>
    <phoneticPr fontId="3"/>
  </si>
  <si>
    <t>赤い蝋燭と人魚</t>
    <rPh sb="0" eb="1">
      <t>アカ</t>
    </rPh>
    <rPh sb="2" eb="4">
      <t>ロウソク</t>
    </rPh>
    <rPh sb="5" eb="7">
      <t>ニンギョ</t>
    </rPh>
    <phoneticPr fontId="3"/>
  </si>
  <si>
    <t>18+14+(16+14),12,18</t>
    <phoneticPr fontId="3"/>
  </si>
  <si>
    <t>あかずきん</t>
    <phoneticPr fontId="3"/>
  </si>
  <si>
    <t>23,22,21,20,20,17,15</t>
    <phoneticPr fontId="3"/>
  </si>
  <si>
    <t>【MONSTER】玉手箱</t>
  </si>
  <si>
    <t>もんすたーたまてばこ</t>
  </si>
  <si>
    <t>21,20,18,17</t>
    <phoneticPr fontId="3"/>
  </si>
  <si>
    <t>りとー</t>
    <phoneticPr fontId="3"/>
  </si>
  <si>
    <t>22,20,20,20,19,17,15</t>
    <phoneticPr fontId="3"/>
  </si>
  <si>
    <t>天狗笑</t>
    <rPh sb="0" eb="2">
      <t>テング</t>
    </rPh>
    <rPh sb="2" eb="3">
      <t>ワライ</t>
    </rPh>
    <phoneticPr fontId="3"/>
  </si>
  <si>
    <t>てんぐわらい</t>
    <phoneticPr fontId="3"/>
  </si>
  <si>
    <t>黒髪切</t>
    <rPh sb="0" eb="2">
      <t>クロカミ</t>
    </rPh>
    <rPh sb="2" eb="3">
      <t>キリ</t>
    </rPh>
    <phoneticPr fontId="3"/>
  </si>
  <si>
    <t>くろかみきり</t>
    <phoneticPr fontId="3"/>
  </si>
  <si>
    <t>げんじゅうふるつばきのれい</t>
    <phoneticPr fontId="3"/>
  </si>
  <si>
    <t>【呪詛】メディア</t>
  </si>
  <si>
    <t>20,15,15</t>
    <phoneticPr fontId="3"/>
  </si>
  <si>
    <t>すくみずはなこさん</t>
    <phoneticPr fontId="3"/>
  </si>
  <si>
    <t>22,22,20,19,18,15</t>
    <phoneticPr fontId="3"/>
  </si>
  <si>
    <t>睡蓮</t>
    <rPh sb="0" eb="2">
      <t>スイレン</t>
    </rPh>
    <phoneticPr fontId="3"/>
  </si>
  <si>
    <t>すいれん</t>
    <phoneticPr fontId="3"/>
  </si>
  <si>
    <t>けごんのたき</t>
    <phoneticPr fontId="3"/>
  </si>
  <si>
    <t>25,20,19,19,17,17,16,15,15</t>
    <phoneticPr fontId="3"/>
  </si>
  <si>
    <t>20,16,14</t>
    <phoneticPr fontId="3"/>
  </si>
  <si>
    <t>くたにやき</t>
    <phoneticPr fontId="3"/>
  </si>
  <si>
    <t>はらじゅくろりいたちゃん</t>
    <phoneticPr fontId="3"/>
  </si>
  <si>
    <t>19,14</t>
    <phoneticPr fontId="3"/>
  </si>
  <si>
    <t>ごしきぬま</t>
    <phoneticPr fontId="3"/>
  </si>
  <si>
    <t>22+20+(20+20)</t>
    <phoneticPr fontId="3"/>
  </si>
  <si>
    <t>徳川頼貞</t>
    <rPh sb="0" eb="2">
      <t>トクガワ</t>
    </rPh>
    <rPh sb="2" eb="3">
      <t>ヨリ</t>
    </rPh>
    <rPh sb="3" eb="4">
      <t>サダ</t>
    </rPh>
    <phoneticPr fontId="3"/>
  </si>
  <si>
    <t>笹森儀助</t>
    <rPh sb="0" eb="2">
      <t>ササモリ</t>
    </rPh>
    <rPh sb="2" eb="4">
      <t>ギスケ</t>
    </rPh>
    <phoneticPr fontId="3"/>
  </si>
  <si>
    <t>ささもりぎすけ</t>
    <phoneticPr fontId="3"/>
  </si>
  <si>
    <t>【空の護人】北原怜子</t>
    <phoneticPr fontId="3"/>
  </si>
  <si>
    <t>そらのもりびときたはらさとこ</t>
    <phoneticPr fontId="3"/>
  </si>
  <si>
    <t>すーざふぉにあ</t>
    <phoneticPr fontId="3"/>
  </si>
  <si>
    <t>チョウザメ</t>
    <phoneticPr fontId="3"/>
  </si>
  <si>
    <t>ちょうざめ</t>
    <phoneticPr fontId="3"/>
  </si>
  <si>
    <t>わさび</t>
    <phoneticPr fontId="3"/>
  </si>
  <si>
    <t>あんこうなべちゃん</t>
    <phoneticPr fontId="3"/>
  </si>
  <si>
    <t>22,22,18,17,17,17,16,16,15,15</t>
    <phoneticPr fontId="3"/>
  </si>
  <si>
    <t>18+15+(17+16) 17+14+(15+15),16</t>
    <phoneticPr fontId="3"/>
  </si>
  <si>
    <t>19+16+(17+16),14,14,14,14</t>
    <phoneticPr fontId="3"/>
  </si>
  <si>
    <t>天麩羅ちゃん</t>
    <rPh sb="0" eb="3">
      <t>テンプラ</t>
    </rPh>
    <phoneticPr fontId="3"/>
  </si>
  <si>
    <t>てんぷらちゃん</t>
    <phoneticPr fontId="3"/>
  </si>
  <si>
    <t>あいすくりんちゃん</t>
    <phoneticPr fontId="3"/>
  </si>
  <si>
    <t>20,19,15</t>
    <phoneticPr fontId="3"/>
  </si>
  <si>
    <t>ふるーつとまとちゃん</t>
  </si>
  <si>
    <t>【繚乱】妙音弁財天</t>
    <rPh sb="1" eb="3">
      <t>リョウラン</t>
    </rPh>
    <rPh sb="4" eb="6">
      <t>ミョウオン</t>
    </rPh>
    <rPh sb="6" eb="9">
      <t>ベンザイテン</t>
    </rPh>
    <phoneticPr fontId="3"/>
  </si>
  <si>
    <t>りょうらんみょうおんべんざいてん</t>
    <phoneticPr fontId="3"/>
  </si>
  <si>
    <t>ほくしんみょうけんぼさつ</t>
    <phoneticPr fontId="3"/>
  </si>
  <si>
    <t>19,19,19</t>
    <phoneticPr fontId="3"/>
  </si>
  <si>
    <t>御神渡り</t>
    <rPh sb="0" eb="1">
      <t>オ</t>
    </rPh>
    <rPh sb="1" eb="2">
      <t>カミ</t>
    </rPh>
    <rPh sb="2" eb="3">
      <t>ワタ</t>
    </rPh>
    <phoneticPr fontId="3"/>
  </si>
  <si>
    <t>しとぅんぺかむい</t>
    <phoneticPr fontId="3"/>
  </si>
  <si>
    <t>22,17,15</t>
    <phoneticPr fontId="3"/>
  </si>
  <si>
    <t>19+14+(16+14),15,15,16</t>
    <phoneticPr fontId="3"/>
  </si>
  <si>
    <t>ぴよぴよばく</t>
    <phoneticPr fontId="3"/>
  </si>
  <si>
    <t>えんきりえのき</t>
    <phoneticPr fontId="3"/>
  </si>
  <si>
    <t>20,15</t>
    <phoneticPr fontId="3"/>
  </si>
  <si>
    <t>17+?+?,14,14</t>
    <phoneticPr fontId="3"/>
  </si>
  <si>
    <t>はりはら</t>
    <phoneticPr fontId="3"/>
  </si>
  <si>
    <t>坂本睦子</t>
    <rPh sb="0" eb="2">
      <t>サカモト</t>
    </rPh>
    <rPh sb="2" eb="4">
      <t>ムツコ</t>
    </rPh>
    <phoneticPr fontId="3"/>
  </si>
  <si>
    <t>さかもとむつこ</t>
    <phoneticPr fontId="3"/>
  </si>
  <si>
    <t>田中舘愛橘</t>
    <phoneticPr fontId="3"/>
  </si>
  <si>
    <t>こうだのぶ</t>
    <phoneticPr fontId="3"/>
  </si>
  <si>
    <t>16,14,14</t>
    <phoneticPr fontId="3"/>
  </si>
  <si>
    <t>せんせいじゅつし</t>
    <phoneticPr fontId="3"/>
  </si>
  <si>
    <t>足利義教</t>
    <rPh sb="0" eb="2">
      <t>アシカガ</t>
    </rPh>
    <rPh sb="2" eb="4">
      <t>ヨシノリ</t>
    </rPh>
    <phoneticPr fontId="3"/>
  </si>
  <si>
    <t>あしかがよしのり</t>
    <phoneticPr fontId="3"/>
  </si>
  <si>
    <t>かじわらにゅうどうとうあん</t>
    <phoneticPr fontId="3"/>
  </si>
  <si>
    <t>ふじわらかげきよ</t>
    <phoneticPr fontId="3"/>
  </si>
  <si>
    <t>22,17,16</t>
    <phoneticPr fontId="3"/>
  </si>
  <si>
    <t>19+17+(18+17),14,14,14,14 18+17+(18+17),14,15,15,16</t>
    <phoneticPr fontId="3"/>
  </si>
  <si>
    <t>もものけんき</t>
    <phoneticPr fontId="3"/>
  </si>
  <si>
    <t>22+16+(20+20),15,16</t>
    <phoneticPr fontId="3"/>
  </si>
  <si>
    <t>【石器】京極マリア</t>
    <rPh sb="1" eb="3">
      <t>セッキ</t>
    </rPh>
    <rPh sb="4" eb="6">
      <t>キョウゴク</t>
    </rPh>
    <phoneticPr fontId="3"/>
  </si>
  <si>
    <t>せっききょうごくまりあ</t>
    <phoneticPr fontId="3"/>
  </si>
  <si>
    <t>【ミリタリー水着】小野お通</t>
    <rPh sb="6" eb="8">
      <t>ミズギ</t>
    </rPh>
    <rPh sb="9" eb="11">
      <t>オノ</t>
    </rPh>
    <rPh sb="12" eb="13">
      <t>ツウ</t>
    </rPh>
    <phoneticPr fontId="3"/>
  </si>
  <si>
    <t>みりたりーみずぎおののおつう</t>
    <phoneticPr fontId="3"/>
  </si>
  <si>
    <t>そめどののきさき</t>
    <phoneticPr fontId="3"/>
  </si>
  <si>
    <t>21+14+(16+14),14,14,14</t>
    <phoneticPr fontId="3"/>
  </si>
  <si>
    <t>【デート】有馬ルチア</t>
    <phoneticPr fontId="3"/>
  </si>
  <si>
    <t>でーとありまるちあ</t>
    <phoneticPr fontId="3"/>
  </si>
  <si>
    <t>15+13+(14+13),12,13,15</t>
    <phoneticPr fontId="3"/>
  </si>
  <si>
    <t>しゅくさいのおうじょほりでー</t>
  </si>
  <si>
    <t>22+15+(20+20),竜,竜,竜,竜 21+19+(21+19),15,竜,竜,竜</t>
    <rPh sb="39" eb="40">
      <t>リュウ</t>
    </rPh>
    <phoneticPr fontId="3"/>
  </si>
  <si>
    <t>りかやおうじょ</t>
    <phoneticPr fontId="3"/>
  </si>
  <si>
    <t>17,15</t>
    <phoneticPr fontId="3"/>
  </si>
  <si>
    <t>【時代劇】白虎</t>
    <rPh sb="1" eb="4">
      <t>ジダイゲキ</t>
    </rPh>
    <rPh sb="5" eb="7">
      <t>ビャッコ</t>
    </rPh>
    <phoneticPr fontId="3"/>
  </si>
  <si>
    <t>じだいげきびゃっこ</t>
    <phoneticPr fontId="3"/>
  </si>
  <si>
    <t>天狗草紙</t>
    <rPh sb="0" eb="2">
      <t>テング</t>
    </rPh>
    <rPh sb="2" eb="3">
      <t>ゾウ</t>
    </rPh>
    <rPh sb="3" eb="4">
      <t>シ</t>
    </rPh>
    <phoneticPr fontId="3"/>
  </si>
  <si>
    <t>てんぐぞうし</t>
    <phoneticPr fontId="3"/>
  </si>
  <si>
    <t>平家物語絵巻</t>
    <rPh sb="0" eb="2">
      <t>ヘイケ</t>
    </rPh>
    <rPh sb="2" eb="4">
      <t>モノガタリ</t>
    </rPh>
    <rPh sb="4" eb="6">
      <t>エマキ</t>
    </rPh>
    <phoneticPr fontId="3"/>
  </si>
  <si>
    <t>くぐつし</t>
    <phoneticPr fontId="3"/>
  </si>
  <si>
    <t>高千穂夜神楽</t>
    <rPh sb="0" eb="3">
      <t>タカチホ</t>
    </rPh>
    <rPh sb="3" eb="6">
      <t>ヨカグラ</t>
    </rPh>
    <phoneticPr fontId="3"/>
  </si>
  <si>
    <t>たかちほよかぐら</t>
    <phoneticPr fontId="3"/>
  </si>
  <si>
    <t>つくしまい</t>
    <phoneticPr fontId="3"/>
  </si>
  <si>
    <t>19,18,14</t>
    <phoneticPr fontId="3"/>
  </si>
  <si>
    <t>【婉美】天狐</t>
    <phoneticPr fontId="3"/>
  </si>
  <si>
    <t>えんびてんこ</t>
    <phoneticPr fontId="3"/>
  </si>
  <si>
    <t>金長狸</t>
    <rPh sb="0" eb="2">
      <t>キンチョウ</t>
    </rPh>
    <rPh sb="2" eb="3">
      <t>タヌキ</t>
    </rPh>
    <phoneticPr fontId="3"/>
  </si>
  <si>
    <t>きんちょうたぬき</t>
    <phoneticPr fontId="3"/>
  </si>
  <si>
    <t>りゅうのちょうじ</t>
  </si>
  <si>
    <t>べるべっと</t>
    <phoneticPr fontId="3"/>
  </si>
  <si>
    <t>23,22,20,20,15,15,15</t>
    <phoneticPr fontId="3"/>
  </si>
  <si>
    <t>18+16+(17+17),14,14,16,16 17+15+(16+16),15</t>
    <phoneticPr fontId="3"/>
  </si>
  <si>
    <t>かーにばるくいーん</t>
    <phoneticPr fontId="3"/>
  </si>
  <si>
    <t>22,16,15,15</t>
    <phoneticPr fontId="3"/>
  </si>
  <si>
    <t>20+16+(18+17)</t>
    <phoneticPr fontId="3"/>
  </si>
  <si>
    <t>鑑真</t>
    <rPh sb="0" eb="2">
      <t>ガンジン</t>
    </rPh>
    <phoneticPr fontId="3"/>
  </si>
  <si>
    <t>がんじん</t>
    <phoneticPr fontId="3"/>
  </si>
  <si>
    <t>【ロミオとジュリエット】厳島内侍</t>
    <rPh sb="12" eb="14">
      <t>イツクシマ</t>
    </rPh>
    <rPh sb="14" eb="15">
      <t>ナイ</t>
    </rPh>
    <rPh sb="15" eb="16">
      <t>サムライ</t>
    </rPh>
    <phoneticPr fontId="3"/>
  </si>
  <si>
    <t>【海援隊】坂本龍馬</t>
    <rPh sb="1" eb="4">
      <t>カイエンタイ</t>
    </rPh>
    <rPh sb="5" eb="7">
      <t>サカモト</t>
    </rPh>
    <rPh sb="7" eb="9">
      <t>リョウマ</t>
    </rPh>
    <phoneticPr fontId="3"/>
  </si>
  <si>
    <t>ふじわらのかまたり</t>
    <phoneticPr fontId="3"/>
  </si>
  <si>
    <t>22+17+(19+17),15,15,17,15</t>
    <phoneticPr fontId="3"/>
  </si>
  <si>
    <t>もんすたーあかしれじーな</t>
  </si>
  <si>
    <t>22,18</t>
    <phoneticPr fontId="3"/>
  </si>
  <si>
    <t>なべしまながこ</t>
    <phoneticPr fontId="3"/>
  </si>
  <si>
    <t>22,22,19</t>
    <phoneticPr fontId="3"/>
  </si>
  <si>
    <t>せとうちれもん</t>
    <phoneticPr fontId="3"/>
  </si>
  <si>
    <t>えくそしすとあまおう</t>
    <phoneticPr fontId="3"/>
  </si>
  <si>
    <t>すてぃーるくいーん</t>
    <phoneticPr fontId="3"/>
  </si>
  <si>
    <t>23,23,19,16,15,15</t>
    <phoneticPr fontId="3"/>
  </si>
  <si>
    <t>えびす</t>
    <phoneticPr fontId="3"/>
  </si>
  <si>
    <t>みろくぼさつ</t>
    <phoneticPr fontId="3"/>
  </si>
  <si>
    <t>15+13+14</t>
    <phoneticPr fontId="3"/>
  </si>
  <si>
    <t>あわしまのかみ</t>
    <phoneticPr fontId="3"/>
  </si>
  <si>
    <t>にうつひめのおおかみ</t>
    <phoneticPr fontId="3"/>
  </si>
  <si>
    <t>21,17</t>
    <phoneticPr fontId="3"/>
  </si>
  <si>
    <t>18+14+(18+14) 17+15+(16+15),14,15,15</t>
    <phoneticPr fontId="3"/>
  </si>
  <si>
    <t>こくりこ</t>
    <phoneticPr fontId="3"/>
  </si>
  <si>
    <t>22+19+(22+21) 15+15+(15+15),14,14</t>
    <phoneticPr fontId="3"/>
  </si>
  <si>
    <t>はんごんこう</t>
  </si>
  <si>
    <t>22,16</t>
    <phoneticPr fontId="3"/>
  </si>
  <si>
    <t>くろのす</t>
    <phoneticPr fontId="3"/>
  </si>
  <si>
    <t>17,15,15,15,15</t>
    <phoneticPr fontId="3"/>
  </si>
  <si>
    <t>いはらさいかく</t>
    <phoneticPr fontId="3"/>
  </si>
  <si>
    <t>20+16+(17+17),14,15</t>
    <phoneticPr fontId="3"/>
  </si>
  <si>
    <t>もるがんおゆき</t>
    <phoneticPr fontId="3"/>
  </si>
  <si>
    <t>はままつうたくに</t>
    <phoneticPr fontId="3"/>
  </si>
  <si>
    <t>20+15+(19+15)</t>
    <phoneticPr fontId="3"/>
  </si>
  <si>
    <t>さいとうでんきぼう</t>
    <phoneticPr fontId="3"/>
  </si>
  <si>
    <t>てんしつねやまごぜん</t>
    <phoneticPr fontId="3"/>
  </si>
  <si>
    <t>げんじゅうしまさこん</t>
    <phoneticPr fontId="3"/>
  </si>
  <si>
    <t>くろきしさなだゆきむら</t>
    <phoneticPr fontId="3"/>
  </si>
  <si>
    <t>18+13+15</t>
    <phoneticPr fontId="3"/>
  </si>
  <si>
    <t>しまずいよひめ</t>
    <phoneticPr fontId="3"/>
  </si>
  <si>
    <t>せいやどろぼうめりー</t>
    <phoneticPr fontId="3"/>
  </si>
  <si>
    <t>19+11+(14+13)</t>
    <phoneticPr fontId="3"/>
  </si>
  <si>
    <t>【トランプ】般若</t>
    <phoneticPr fontId="3"/>
  </si>
  <si>
    <t>とらんぷはんにゃ</t>
    <phoneticPr fontId="3"/>
  </si>
  <si>
    <t>20+15+(17+17),15,15</t>
    <phoneticPr fontId="3"/>
  </si>
  <si>
    <t>もんすたーくじらちゃん</t>
  </si>
  <si>
    <t>20,16</t>
    <phoneticPr fontId="3"/>
  </si>
  <si>
    <t>わくむすび</t>
    <phoneticPr fontId="3"/>
  </si>
  <si>
    <t>ににぎのみこと</t>
    <phoneticPr fontId="3"/>
  </si>
  <si>
    <t>しのびさるとびさすけ</t>
    <phoneticPr fontId="3"/>
  </si>
  <si>
    <t>でぃーぷぶるー</t>
    <phoneticPr fontId="3"/>
  </si>
  <si>
    <t>19,15</t>
    <phoneticPr fontId="3"/>
  </si>
  <si>
    <t>18+16+18</t>
    <phoneticPr fontId="3"/>
  </si>
  <si>
    <t>ばにーよどどの</t>
    <phoneticPr fontId="3"/>
  </si>
  <si>
    <t>ぷろれすちゅうじょうひめ</t>
    <phoneticPr fontId="3"/>
  </si>
  <si>
    <t>ぜうすてんむてんのう</t>
    <phoneticPr fontId="3"/>
  </si>
  <si>
    <t>うんどうかいしらちご</t>
    <phoneticPr fontId="3"/>
  </si>
  <si>
    <t>らっぴんぐおとめつばき</t>
    <phoneticPr fontId="3"/>
  </si>
  <si>
    <t>20+15+17,(12+?+?,?)</t>
    <phoneticPr fontId="3"/>
  </si>
  <si>
    <t>かいぞくかつかいしゅう</t>
    <phoneticPr fontId="3"/>
  </si>
  <si>
    <t>したてるひめ</t>
    <phoneticPr fontId="3"/>
  </si>
  <si>
    <t>れいんぼーかきごおりちゃん</t>
    <phoneticPr fontId="3"/>
  </si>
  <si>
    <t>いるみねーしょんいずみしきぶ</t>
    <phoneticPr fontId="3"/>
  </si>
  <si>
    <t>20+11+19</t>
    <phoneticPr fontId="3"/>
  </si>
  <si>
    <t>きたのまちのにぇーゔぇ</t>
    <phoneticPr fontId="3"/>
  </si>
  <si>
    <t>いっしょにおはなみはちこう</t>
    <phoneticPr fontId="3"/>
  </si>
  <si>
    <t>処16+16+16+16+16 処16,16,16,16</t>
    <rPh sb="0" eb="1">
      <t>ショ</t>
    </rPh>
    <rPh sb="16" eb="17">
      <t>ショ</t>
    </rPh>
    <phoneticPr fontId="3"/>
  </si>
  <si>
    <t>妖怪</t>
  </si>
  <si>
    <t>強い敵は強い味方へ</t>
    <rPh sb="0" eb="1">
      <t>ツヨ</t>
    </rPh>
    <rPh sb="2" eb="3">
      <t>テキ</t>
    </rPh>
    <rPh sb="4" eb="5">
      <t>ツヨ</t>
    </rPh>
    <rPh sb="6" eb="8">
      <t>ミカタ</t>
    </rPh>
    <phoneticPr fontId="3"/>
  </si>
  <si>
    <t>北松斎手控</t>
    <phoneticPr fontId="3"/>
  </si>
  <si>
    <t>独眼竜の本命は？</t>
    <phoneticPr fontId="3"/>
  </si>
  <si>
    <t>縁に感謝する初詣</t>
    <rPh sb="0" eb="1">
      <t>エン</t>
    </rPh>
    <rPh sb="2" eb="4">
      <t>カンシャ</t>
    </rPh>
    <rPh sb="6" eb="8">
      <t>ハツモウデ</t>
    </rPh>
    <phoneticPr fontId="3"/>
  </si>
  <si>
    <t>運命の風に舞う桜</t>
    <phoneticPr fontId="3"/>
  </si>
  <si>
    <t>無垢な強欲</t>
  </si>
  <si>
    <t>タイプ【武人】の防95％UP　/　タイプ姫・伝承の防20％UP</t>
  </si>
  <si>
    <t>福招く猫と鶴の奇跡</t>
  </si>
  <si>
    <t>タイプ伝承・武人・姫の攻30％UP　/　タイプ武人・姫・伝承・飲食の防13％DOWN</t>
  </si>
  <si>
    <t>タイプ伝承・武人・姫の攻60％DOWN　/　タイプ偉人・妖怪・名物の防25％UP</t>
  </si>
  <si>
    <t>本気の羽子板</t>
    <phoneticPr fontId="3"/>
  </si>
  <si>
    <t>みずうみヴォルケイノ</t>
    <phoneticPr fontId="3"/>
  </si>
  <si>
    <t>一途に待つ忠犬</t>
    <phoneticPr fontId="3"/>
  </si>
  <si>
    <t>料理から虫除けまで</t>
    <phoneticPr fontId="3"/>
  </si>
  <si>
    <t>北海道愛溢れる告白</t>
  </si>
  <si>
    <t>タイプ偉人・妖怪・名物の防40％UP　/　タイプ飲食・武人・名物の攻10％DOWN</t>
  </si>
  <si>
    <t>栄華を誇る連続射撃</t>
  </si>
  <si>
    <t>タイプ名物・妖怪・飲食の攻40％UP　/　タイプ【偉人】の攻30％UP</t>
  </si>
  <si>
    <t>凛として響く歌声</t>
    <phoneticPr fontId="3"/>
  </si>
  <si>
    <t>奇想の執事</t>
    <phoneticPr fontId="3"/>
  </si>
  <si>
    <t>夏祭りの美人狙撃家</t>
  </si>
  <si>
    <t>タイプ【名物】の攻55％UP　/　タイプ偉人・妖怪の攻40％UP</t>
  </si>
  <si>
    <t>北の大地を召しあがれ</t>
    <phoneticPr fontId="3"/>
  </si>
  <si>
    <t>ハロウィンのほろ酔い宴</t>
  </si>
  <si>
    <t>タイプ神秘・知性派の攻45％UP　/　タイプ【飲食】の攻15％UP</t>
  </si>
  <si>
    <t>鬼も恐るる三ツ石の神</t>
    <phoneticPr fontId="3"/>
  </si>
  <si>
    <t>村を救ったユーカラの語り手</t>
    <phoneticPr fontId="3"/>
  </si>
  <si>
    <t>タイプ伝承・武人・姫の防60％DOWN　/　タイプ神秘・知性派・飲食の攻25％UP</t>
  </si>
  <si>
    <t>パン巡る愛の跳躍</t>
    <rPh sb="2" eb="3">
      <t>メグ</t>
    </rPh>
    <rPh sb="4" eb="5">
      <t>アイ</t>
    </rPh>
    <rPh sb="6" eb="8">
      <t>チョウヤク</t>
    </rPh>
    <phoneticPr fontId="3"/>
  </si>
  <si>
    <t>氷穴の守護者と小さな相棒</t>
  </si>
  <si>
    <t>タイプ姫・伝承の防40％UP　/　タイプ【武人】の防25％UP</t>
  </si>
  <si>
    <t>逮捕します！</t>
    <phoneticPr fontId="3"/>
  </si>
  <si>
    <t>小天狗の大掃除</t>
    <phoneticPr fontId="3"/>
  </si>
  <si>
    <t>その思いしのぶれど</t>
    <phoneticPr fontId="3"/>
  </si>
  <si>
    <t>素敵な破魔矢</t>
  </si>
  <si>
    <t>ほとばしる海の村雨丸</t>
    <phoneticPr fontId="3"/>
  </si>
  <si>
    <t>謎多き神隠しの森</t>
    <phoneticPr fontId="3"/>
  </si>
  <si>
    <t>ジャイアントブレイク</t>
    <phoneticPr fontId="3"/>
  </si>
  <si>
    <t>果実の恵みと美貌の古椿</t>
  </si>
  <si>
    <t>タイプ武人・伝承の攻90％DOWN　/　タイプ偉人・妖怪・名物の防15％UP</t>
  </si>
  <si>
    <t>サーキット彩る妖艶狐</t>
  </si>
  <si>
    <t>タイプ伝承・武人・姫の攻60％DOWN　/　タイプ偉人・妖怪・名物の防20％UP</t>
  </si>
  <si>
    <t>茶屋に咲く江戸の華</t>
  </si>
  <si>
    <t>タイプ偉人・妖怪・名物の攻35％UP　/　タイプ伝承・武人・姫の防10％DOWN</t>
  </si>
  <si>
    <t>ご機嫌十二単</t>
    <phoneticPr fontId="3"/>
  </si>
  <si>
    <t>本質見抜く天才</t>
    <phoneticPr fontId="3"/>
  </si>
  <si>
    <t>太陽浴びる大奥の主</t>
  </si>
  <si>
    <t>タイプ偉人・妖怪・名物の防45％UP</t>
  </si>
  <si>
    <t>幸か不幸か思わぬ奇跡</t>
    <phoneticPr fontId="3"/>
  </si>
  <si>
    <t>大舞台で魅せた優しい甘美</t>
    <phoneticPr fontId="3"/>
  </si>
  <si>
    <t>番傘の隙間から</t>
    <rPh sb="0" eb="2">
      <t>バンガサ</t>
    </rPh>
    <rPh sb="3" eb="5">
      <t>スキマ</t>
    </rPh>
    <phoneticPr fontId="3"/>
  </si>
  <si>
    <t>タイプ偉人・妖怪・名物の攻80%DOWN　/　タイプ知性派・飲食の防25%UP</t>
    <rPh sb="3" eb="5">
      <t>イジン</t>
    </rPh>
    <rPh sb="6" eb="8">
      <t>ヨウカイ</t>
    </rPh>
    <rPh sb="9" eb="11">
      <t>メイブツ</t>
    </rPh>
    <rPh sb="12" eb="13">
      <t>コウ</t>
    </rPh>
    <rPh sb="26" eb="28">
      <t>チセイ</t>
    </rPh>
    <rPh sb="28" eb="29">
      <t>ハ</t>
    </rPh>
    <rPh sb="30" eb="32">
      <t>インショク</t>
    </rPh>
    <rPh sb="33" eb="34">
      <t>ボウ</t>
    </rPh>
    <phoneticPr fontId="3"/>
  </si>
  <si>
    <t>麻の神が織りし白羽</t>
    <phoneticPr fontId="3"/>
  </si>
  <si>
    <t>欲望と誘惑の根源</t>
    <rPh sb="0" eb="2">
      <t>ヨクボウ</t>
    </rPh>
    <rPh sb="3" eb="5">
      <t>ユウワク</t>
    </rPh>
    <rPh sb="6" eb="8">
      <t>コンゲン</t>
    </rPh>
    <phoneticPr fontId="3"/>
  </si>
  <si>
    <t>タイプ神秘・知性派・飲食の防25%UP　/　タイプ伝承・武人・姫の攻50%DOWN</t>
    <rPh sb="3" eb="5">
      <t>シンピ</t>
    </rPh>
    <rPh sb="6" eb="8">
      <t>チセイ</t>
    </rPh>
    <rPh sb="8" eb="9">
      <t>ハ</t>
    </rPh>
    <rPh sb="10" eb="12">
      <t>インショク</t>
    </rPh>
    <rPh sb="13" eb="14">
      <t>ボウ</t>
    </rPh>
    <rPh sb="25" eb="27">
      <t>デンショウ</t>
    </rPh>
    <rPh sb="28" eb="30">
      <t>ブジン</t>
    </rPh>
    <rPh sb="31" eb="32">
      <t>ヒメ</t>
    </rPh>
    <rPh sb="33" eb="34">
      <t>コウ</t>
    </rPh>
    <phoneticPr fontId="3"/>
  </si>
  <si>
    <t>漆黒の翼に忍ばす守護の櫛</t>
    <phoneticPr fontId="3"/>
  </si>
  <si>
    <t>風魔の科学力</t>
    <phoneticPr fontId="3"/>
  </si>
  <si>
    <t>爆走！天下布武漢</t>
    <phoneticPr fontId="3"/>
  </si>
  <si>
    <t>タイプ姫・伝承の攻12％UP</t>
    <phoneticPr fontId="3"/>
  </si>
  <si>
    <t>太陽はじく自慢の白肌</t>
    <phoneticPr fontId="3"/>
  </si>
  <si>
    <t>無敗に導く天気予報</t>
    <phoneticPr fontId="3"/>
  </si>
  <si>
    <t>猫又権現</t>
    <phoneticPr fontId="3"/>
  </si>
  <si>
    <t>人類最初の兄の嘘</t>
    <phoneticPr fontId="3"/>
  </si>
  <si>
    <t>甘酸っぱい恋の収穫</t>
  </si>
  <si>
    <t>闇ニ堕チル黒花ノ精</t>
    <rPh sb="0" eb="1">
      <t>ヤミ</t>
    </rPh>
    <rPh sb="2" eb="3">
      <t>オ</t>
    </rPh>
    <rPh sb="5" eb="6">
      <t>クロ</t>
    </rPh>
    <rPh sb="6" eb="7">
      <t>ハナ</t>
    </rPh>
    <rPh sb="8" eb="9">
      <t>セイ</t>
    </rPh>
    <phoneticPr fontId="3"/>
  </si>
  <si>
    <t>タイプ伝承・武人・姫の攻15%UP　/　タイプ妖怪・名物・偉人・姫の防25%DOWN</t>
    <rPh sb="3" eb="5">
      <t>デンショウ</t>
    </rPh>
    <rPh sb="6" eb="8">
      <t>ブジン</t>
    </rPh>
    <rPh sb="9" eb="10">
      <t>ヒメ</t>
    </rPh>
    <rPh sb="11" eb="12">
      <t>コウ</t>
    </rPh>
    <rPh sb="23" eb="25">
      <t>ヨウカイ</t>
    </rPh>
    <rPh sb="26" eb="28">
      <t>メイブツ</t>
    </rPh>
    <rPh sb="29" eb="31">
      <t>イジン</t>
    </rPh>
    <rPh sb="32" eb="33">
      <t>ヒメ</t>
    </rPh>
    <rPh sb="34" eb="35">
      <t>ボウ</t>
    </rPh>
    <phoneticPr fontId="3"/>
  </si>
  <si>
    <t>皇帝への反逆</t>
    <rPh sb="0" eb="2">
      <t>コウテイ</t>
    </rPh>
    <rPh sb="4" eb="6">
      <t>ハンギャク</t>
    </rPh>
    <phoneticPr fontId="3"/>
  </si>
  <si>
    <t>タイプ偉人・妖怪・伝承の攻40%UP　/　タイプ名物・姫の攻30%UP</t>
    <rPh sb="3" eb="5">
      <t>イジン</t>
    </rPh>
    <rPh sb="6" eb="8">
      <t>ヨウカイ</t>
    </rPh>
    <rPh sb="9" eb="11">
      <t>デンショウ</t>
    </rPh>
    <rPh sb="12" eb="13">
      <t>コウ</t>
    </rPh>
    <rPh sb="24" eb="26">
      <t>メイブツ</t>
    </rPh>
    <rPh sb="27" eb="28">
      <t>ヒメ</t>
    </rPh>
    <rPh sb="29" eb="30">
      <t>コウ</t>
    </rPh>
    <phoneticPr fontId="3"/>
  </si>
  <si>
    <t>恋を巡る恐ろしき絶壁</t>
    <phoneticPr fontId="3"/>
  </si>
  <si>
    <t>照らされた銀世界</t>
    <phoneticPr fontId="3"/>
  </si>
  <si>
    <t>当たれば恋に落とせし愛の矢</t>
    <phoneticPr fontId="3"/>
  </si>
  <si>
    <t>豆に込めた母の愛</t>
    <phoneticPr fontId="3"/>
  </si>
  <si>
    <t>白百合の恋占い</t>
    <phoneticPr fontId="3"/>
  </si>
  <si>
    <t>心に響け愛の歌</t>
  </si>
  <si>
    <t>タイプ【名物】の攻85％UP　/　タイプ偉人・妖怪の攻25％UP</t>
  </si>
  <si>
    <t>お茶とお話とたい焼きと。</t>
  </si>
  <si>
    <t>タイプ神秘・知性派・飲食の攻20％UP</t>
  </si>
  <si>
    <t>永遠に散らぬ花火</t>
    <phoneticPr fontId="3"/>
  </si>
  <si>
    <t>行灯と愛しい待ち人</t>
    <phoneticPr fontId="3"/>
  </si>
  <si>
    <t>大成へ通ずる握り占めた一本の藁</t>
    <phoneticPr fontId="3"/>
  </si>
  <si>
    <t>慈愛満ちた鯉如来</t>
    <phoneticPr fontId="3"/>
  </si>
  <si>
    <t>タイプ妖怪・名物の攻50％UP　/　タイプ【偉人】の攻35％UP</t>
  </si>
  <si>
    <t>月夜のだるま見酒</t>
    <phoneticPr fontId="3"/>
  </si>
  <si>
    <t>仏敵を威圧する盆怒相</t>
    <rPh sb="0" eb="1">
      <t>ブツ</t>
    </rPh>
    <rPh sb="1" eb="2">
      <t>テキ</t>
    </rPh>
    <rPh sb="3" eb="5">
      <t>イアツ</t>
    </rPh>
    <rPh sb="7" eb="8">
      <t>ボン</t>
    </rPh>
    <rPh sb="8" eb="9">
      <t>ド</t>
    </rPh>
    <rPh sb="9" eb="10">
      <t>ソウ</t>
    </rPh>
    <phoneticPr fontId="3"/>
  </si>
  <si>
    <t>タイプ神秘・知性派・飲食の攻25%UP　/　タイプ伝承・武人・姫の防50%DOWN</t>
    <rPh sb="3" eb="5">
      <t>シンピ</t>
    </rPh>
    <rPh sb="6" eb="8">
      <t>チセイ</t>
    </rPh>
    <rPh sb="8" eb="9">
      <t>ハ</t>
    </rPh>
    <rPh sb="10" eb="12">
      <t>インショク</t>
    </rPh>
    <rPh sb="13" eb="14">
      <t>コウ</t>
    </rPh>
    <rPh sb="25" eb="27">
      <t>デンショウ</t>
    </rPh>
    <rPh sb="28" eb="30">
      <t>ブジン</t>
    </rPh>
    <rPh sb="31" eb="32">
      <t>ヒメ</t>
    </rPh>
    <rPh sb="33" eb="34">
      <t>ボウ</t>
    </rPh>
    <phoneticPr fontId="3"/>
  </si>
  <si>
    <t>犯罪王の説く美学</t>
    <phoneticPr fontId="3"/>
  </si>
  <si>
    <t>燕を落とす備前長船長光</t>
    <phoneticPr fontId="3"/>
  </si>
  <si>
    <t>金棒振るう鬼女の舞</t>
    <phoneticPr fontId="3"/>
  </si>
  <si>
    <t>難攻不落の天霧城</t>
    <phoneticPr fontId="3"/>
  </si>
  <si>
    <t>転戦する盲目の大将</t>
    <phoneticPr fontId="3"/>
  </si>
  <si>
    <t>タイプ伝承・武人・姫の攻45％UP</t>
    <phoneticPr fontId="3"/>
  </si>
  <si>
    <t>土佐七雄</t>
    <phoneticPr fontId="3"/>
  </si>
  <si>
    <t>父の仇と進む道</t>
  </si>
  <si>
    <t>タイプ伝承・武人・姫の防35％UP　/　タイプ偉人・妖怪・名物の攻10％DOWN</t>
  </si>
  <si>
    <t>新たな可能性</t>
  </si>
  <si>
    <t>甘く芳醇な戦いの舞台</t>
  </si>
  <si>
    <t>タイプ【伝承】の攻40％UP　/　タイプ武人・姫の攻10％UP</t>
  </si>
  <si>
    <t>目覚めよこの歌声を聴きて</t>
    <phoneticPr fontId="3"/>
  </si>
  <si>
    <t>タイプ【姫】の攻25％UP</t>
    <phoneticPr fontId="3"/>
  </si>
  <si>
    <t>女傑の療養行楽伝</t>
    <phoneticPr fontId="3"/>
  </si>
  <si>
    <t>復活祭のバニーちゃん</t>
    <phoneticPr fontId="3"/>
  </si>
  <si>
    <t>口に含む神聖な神酒</t>
    <phoneticPr fontId="3"/>
  </si>
  <si>
    <t>幼き当主への母の護り</t>
    <phoneticPr fontId="3"/>
  </si>
  <si>
    <t>大自然の秘湯</t>
  </si>
  <si>
    <t>羨望と嫉妬の舞台裏</t>
    <phoneticPr fontId="3"/>
  </si>
  <si>
    <t>絶対に覗かないでください</t>
    <rPh sb="0" eb="2">
      <t>ゼッタイ</t>
    </rPh>
    <rPh sb="3" eb="4">
      <t>ノゾ</t>
    </rPh>
    <phoneticPr fontId="3"/>
  </si>
  <si>
    <t>タイプ伝承・武人・姫の攻15%UP　/　タイプ神秘・飲食・知性派・武人の防25%DOWN</t>
    <rPh sb="3" eb="5">
      <t>デンショウ</t>
    </rPh>
    <rPh sb="6" eb="8">
      <t>ブジン</t>
    </rPh>
    <rPh sb="9" eb="10">
      <t>ヒメ</t>
    </rPh>
    <rPh sb="11" eb="12">
      <t>コウ</t>
    </rPh>
    <rPh sb="23" eb="25">
      <t>シンピ</t>
    </rPh>
    <rPh sb="26" eb="28">
      <t>インショク</t>
    </rPh>
    <rPh sb="29" eb="31">
      <t>チセイ</t>
    </rPh>
    <rPh sb="31" eb="32">
      <t>ハ</t>
    </rPh>
    <rPh sb="33" eb="35">
      <t>ブジン</t>
    </rPh>
    <rPh sb="36" eb="37">
      <t>ボウ</t>
    </rPh>
    <phoneticPr fontId="3"/>
  </si>
  <si>
    <t>美しき生ける屍</t>
    <phoneticPr fontId="3"/>
  </si>
  <si>
    <t>プールに浮かぶ絶世の美女</t>
  </si>
  <si>
    <t>タイプ伝承・武人・姫の攻30％UP　/　タイプ神秘・知性派・飲食・武人の防13％DOWN</t>
  </si>
  <si>
    <t>恋に染まる天使肌</t>
  </si>
  <si>
    <t>タイプ伝承・武人・姫の防30％UP　/　タイプ名物・武人・飲食・知性派の攻13％DOWN</t>
  </si>
  <si>
    <t>八百八狸の幻術</t>
    <phoneticPr fontId="3"/>
  </si>
  <si>
    <t>タイプ【名物】の攻25％UP</t>
    <phoneticPr fontId="3"/>
  </si>
  <si>
    <t>紅に染まりし瞳</t>
    <phoneticPr fontId="3"/>
  </si>
  <si>
    <t>ほら、食べて食べて～！</t>
  </si>
  <si>
    <t>タイプ妖怪・名物の防100％DOWN　/　タイプ偉人・名物の攻20％UP</t>
  </si>
  <si>
    <t>美味しい正月料理</t>
    <phoneticPr fontId="3"/>
  </si>
  <si>
    <t>怨みも忘れる恍惚の温もり</t>
    <phoneticPr fontId="3"/>
  </si>
  <si>
    <t>金比羅参りの海水浴</t>
    <phoneticPr fontId="3"/>
  </si>
  <si>
    <t>雪原に際立つ、しろがねの美貌</t>
    <phoneticPr fontId="3"/>
  </si>
  <si>
    <t>名工による石垣の城</t>
  </si>
  <si>
    <t>タイプ偉人・妖怪・名物の防35％UP</t>
  </si>
  <si>
    <t>無垢なる輝き</t>
    <phoneticPr fontId="3"/>
  </si>
  <si>
    <t>同じ阿呆なら踊らな損</t>
    <phoneticPr fontId="3"/>
  </si>
  <si>
    <t>平常心保つ忍びの鍛錬</t>
  </si>
  <si>
    <t>タイプ偉人・妖怪・名物の攻35％UP　/　タイプ飲食・武人・名物の防10％DOWN</t>
  </si>
  <si>
    <t>波瀾万丈の清流下り</t>
    <phoneticPr fontId="3"/>
  </si>
  <si>
    <t>絢爛たるかぶき者</t>
    <phoneticPr fontId="3"/>
  </si>
  <si>
    <t>詩豪の志を一筆に込めて</t>
    <phoneticPr fontId="3"/>
  </si>
  <si>
    <t>光輝く個性とオーナメント</t>
    <phoneticPr fontId="3"/>
  </si>
  <si>
    <t>月夜の杯</t>
    <phoneticPr fontId="3"/>
  </si>
  <si>
    <t>敬虔な父への感謝</t>
  </si>
  <si>
    <t>タイプ【名物】の攻75％UP　/　タイプ偉人・妖怪の攻30％UP</t>
  </si>
  <si>
    <t>鮮やかな宝石と手口</t>
    <phoneticPr fontId="3"/>
  </si>
  <si>
    <t>伝家のデミグラス</t>
    <phoneticPr fontId="3"/>
  </si>
  <si>
    <t>タイプ神秘・知性派・飲食の攻20％UP</t>
    <phoneticPr fontId="3"/>
  </si>
  <si>
    <t>勝利へのサンライズ</t>
    <phoneticPr fontId="3"/>
  </si>
  <si>
    <t>甘く薫る新緑のメロンパン</t>
    <phoneticPr fontId="3"/>
  </si>
  <si>
    <t>甘い誘惑</t>
    <phoneticPr fontId="3"/>
  </si>
  <si>
    <t>神世界一のセレブシェフ</t>
    <rPh sb="0" eb="1">
      <t>カミ</t>
    </rPh>
    <rPh sb="1" eb="3">
      <t>セカイ</t>
    </rPh>
    <rPh sb="3" eb="4">
      <t>イチ</t>
    </rPh>
    <phoneticPr fontId="3"/>
  </si>
  <si>
    <t>タイプ偉人・妖怪・名物の防80％DOWN　/　タイプ知性派・飲食の攻25%UP</t>
    <rPh sb="26" eb="28">
      <t>チセイ</t>
    </rPh>
    <rPh sb="28" eb="29">
      <t>ハ</t>
    </rPh>
    <rPh sb="30" eb="32">
      <t>インショク</t>
    </rPh>
    <rPh sb="33" eb="34">
      <t>コウ</t>
    </rPh>
    <phoneticPr fontId="3"/>
  </si>
  <si>
    <t>惚れ直す浴衣美人</t>
    <phoneticPr fontId="3"/>
  </si>
  <si>
    <t>荒ぶる暴君の執事姿</t>
    <phoneticPr fontId="3"/>
  </si>
  <si>
    <t>下界絶対拒否</t>
    <phoneticPr fontId="3"/>
  </si>
  <si>
    <t>海外より伝えたる刀技</t>
    <rPh sb="0" eb="2">
      <t>カイガイ</t>
    </rPh>
    <rPh sb="4" eb="5">
      <t>ツタ</t>
    </rPh>
    <rPh sb="8" eb="9">
      <t>カタナ</t>
    </rPh>
    <rPh sb="9" eb="10">
      <t>ワザ</t>
    </rPh>
    <phoneticPr fontId="3"/>
  </si>
  <si>
    <t>タイプ神秘・知性派・飲食の攻40％UP　/　タイプ伝承・武人・姫の防10％DOWN</t>
    <rPh sb="25" eb="27">
      <t>デンショウ</t>
    </rPh>
    <rPh sb="28" eb="30">
      <t>ブジン</t>
    </rPh>
    <rPh sb="31" eb="32">
      <t>ヒメ</t>
    </rPh>
    <phoneticPr fontId="3"/>
  </si>
  <si>
    <t>一滴から生まれたる新たな踊り</t>
    <phoneticPr fontId="3"/>
  </si>
  <si>
    <t>八雲立つ魂込めた年賀状</t>
    <rPh sb="0" eb="2">
      <t>ヤクモ</t>
    </rPh>
    <rPh sb="2" eb="3">
      <t>タ</t>
    </rPh>
    <rPh sb="4" eb="5">
      <t>タマシイ</t>
    </rPh>
    <rPh sb="5" eb="6">
      <t>コ</t>
    </rPh>
    <rPh sb="8" eb="11">
      <t>ネンガジョウ</t>
    </rPh>
    <phoneticPr fontId="3"/>
  </si>
  <si>
    <t>タイプ神秘・知性派・飲食の攻45％UP</t>
    <phoneticPr fontId="3"/>
  </si>
  <si>
    <t>機械の信仰心</t>
    <rPh sb="0" eb="2">
      <t>キカイ</t>
    </rPh>
    <rPh sb="3" eb="6">
      <t>シンコウシン</t>
    </rPh>
    <phoneticPr fontId="3"/>
  </si>
  <si>
    <t>知謀に長けた最強の花嫁</t>
    <rPh sb="0" eb="2">
      <t>チボウ</t>
    </rPh>
    <rPh sb="3" eb="4">
      <t>タ</t>
    </rPh>
    <rPh sb="6" eb="8">
      <t>サイキョウ</t>
    </rPh>
    <rPh sb="9" eb="11">
      <t>ハナヨメ</t>
    </rPh>
    <phoneticPr fontId="3"/>
  </si>
  <si>
    <t>二才咄格式定目</t>
    <phoneticPr fontId="3"/>
  </si>
  <si>
    <t>秀吉支える名参謀の愛娘</t>
    <phoneticPr fontId="3"/>
  </si>
  <si>
    <t>涼水と泡に浮かぶ女城主</t>
    <phoneticPr fontId="3"/>
  </si>
  <si>
    <t>葛の葉</t>
    <phoneticPr fontId="3"/>
  </si>
  <si>
    <t>ホーム守る大蛇のメガホン</t>
  </si>
  <si>
    <t>雨の小さな期待</t>
    <phoneticPr fontId="3"/>
  </si>
  <si>
    <t>深まる秋の音色と色彩</t>
    <phoneticPr fontId="3"/>
  </si>
  <si>
    <t>タイプ妖怪・名物の防55％UP　/　タイプ【偉人】の防25％UP</t>
  </si>
  <si>
    <t>必殺ねじねじ攻撃</t>
  </si>
  <si>
    <t>タイプ神秘・知性派・飲食の防35％UP　/　タイプ飲食・武人・名物の攻10％DOWN</t>
  </si>
  <si>
    <t>神の手に宿りし魔滅豆</t>
    <phoneticPr fontId="3"/>
  </si>
  <si>
    <t>天真爛漫に描く裁判の女神</t>
  </si>
  <si>
    <t>タイプ神秘・知性派・飲食の防40％UP　/　タイプ飲食・武人・名物の攻10％DOWN</t>
  </si>
  <si>
    <t>中核なす鬼弥五郎</t>
    <phoneticPr fontId="3"/>
  </si>
  <si>
    <t>魔弓の代償</t>
  </si>
  <si>
    <t>騎竜姫の嗜み</t>
    <phoneticPr fontId="3"/>
  </si>
  <si>
    <t>優雅に浮かぶ戦国屈指のスーパーモデル</t>
    <phoneticPr fontId="3"/>
  </si>
  <si>
    <t>秘宝か罠か呪いの玉手箱</t>
  </si>
  <si>
    <t>タイプ伝承・武人・姫の攻40％UP　/　タイプ偉人・妖怪・名物の防10％DOWN</t>
  </si>
  <si>
    <t>巨大な体に小さな勇気</t>
    <phoneticPr fontId="3"/>
  </si>
  <si>
    <t>愛より堕ちた呪詛</t>
    <phoneticPr fontId="3"/>
  </si>
  <si>
    <t>恐怖満点、真夜中のプール</t>
    <phoneticPr fontId="3"/>
  </si>
  <si>
    <t>自然が造りし超名瀑の飛沫</t>
    <rPh sb="0" eb="2">
      <t>シゼン</t>
    </rPh>
    <rPh sb="3" eb="4">
      <t>ツク</t>
    </rPh>
    <rPh sb="6" eb="7">
      <t>チョウ</t>
    </rPh>
    <rPh sb="7" eb="9">
      <t>メイバク</t>
    </rPh>
    <rPh sb="10" eb="12">
      <t>ヒマツ</t>
    </rPh>
    <phoneticPr fontId="3"/>
  </si>
  <si>
    <t>タイプ偉人・妖怪・名物の攻10%UP　/　タイプ妖怪・名物・偉人・姫の防35%DOWN</t>
    <rPh sb="3" eb="5">
      <t>イジン</t>
    </rPh>
    <rPh sb="6" eb="8">
      <t>ヨウカイ</t>
    </rPh>
    <rPh sb="9" eb="11">
      <t>メイブツ</t>
    </rPh>
    <rPh sb="12" eb="13">
      <t>コウ</t>
    </rPh>
    <rPh sb="24" eb="26">
      <t>ヨウカイ</t>
    </rPh>
    <rPh sb="27" eb="29">
      <t>メイブツ</t>
    </rPh>
    <rPh sb="30" eb="32">
      <t>イジン</t>
    </rPh>
    <rPh sb="33" eb="34">
      <t>ヒメ</t>
    </rPh>
    <rPh sb="35" eb="36">
      <t>ボウ</t>
    </rPh>
    <phoneticPr fontId="3"/>
  </si>
  <si>
    <t>聖地に集うロリータ少女</t>
    <phoneticPr fontId="3"/>
  </si>
  <si>
    <t>五色に耀く神秘の湖沼</t>
    <phoneticPr fontId="3"/>
  </si>
  <si>
    <t>竜殺しの戦国斬夢</t>
    <phoneticPr fontId="3"/>
  </si>
  <si>
    <t>圧倒する低音の魅力</t>
    <phoneticPr fontId="3"/>
  </si>
  <si>
    <t>清流に根付く清涼感</t>
    <phoneticPr fontId="3"/>
  </si>
  <si>
    <t>濃厚旨味は通ごのみ</t>
    <phoneticPr fontId="3"/>
  </si>
  <si>
    <t>喉ごし柔らか、夏の涼菓子</t>
  </si>
  <si>
    <t>タイプ神秘・知性派・飲食の攻35％UP</t>
  </si>
  <si>
    <t>口中に入るるに忽ち溶けてまことに美味なり</t>
    <phoneticPr fontId="3"/>
  </si>
  <si>
    <t>甘さの追求</t>
  </si>
  <si>
    <t>タイプ神秘・知性派・飲食の防35％UP</t>
  </si>
  <si>
    <t>妙見天部神</t>
    <rPh sb="0" eb="1">
      <t>ミョウ</t>
    </rPh>
    <rPh sb="1" eb="2">
      <t>ミ</t>
    </rPh>
    <rPh sb="2" eb="3">
      <t>テン</t>
    </rPh>
    <rPh sb="3" eb="4">
      <t>ブ</t>
    </rPh>
    <rPh sb="4" eb="5">
      <t>カミ</t>
    </rPh>
    <phoneticPr fontId="3"/>
  </si>
  <si>
    <t>タイプ知性派・飲食の攻25％UP　/　タイプ【神秘】の攻10％UP</t>
    <rPh sb="10" eb="11">
      <t>コウ</t>
    </rPh>
    <rPh sb="27" eb="28">
      <t>コウ</t>
    </rPh>
    <phoneticPr fontId="3"/>
  </si>
  <si>
    <t>ハイクンテレケ、ハイコシテムトリ</t>
    <phoneticPr fontId="3"/>
  </si>
  <si>
    <t>離縁成就の古木</t>
    <phoneticPr fontId="3"/>
  </si>
  <si>
    <t>二神融合</t>
    <phoneticPr fontId="3"/>
  </si>
  <si>
    <t>星詠</t>
    <phoneticPr fontId="3"/>
  </si>
  <si>
    <t>勇猛怪力が放つ一騎打ち</t>
    <phoneticPr fontId="3"/>
  </si>
  <si>
    <t>名刀・あざ丸</t>
    <phoneticPr fontId="3"/>
  </si>
  <si>
    <t>桜桃の秘剣</t>
    <phoneticPr fontId="3"/>
  </si>
  <si>
    <t>物の怪も嫉妬する美しき皇后</t>
    <rPh sb="0" eb="3">
      <t>モノノケ</t>
    </rPh>
    <rPh sb="4" eb="6">
      <t>シット</t>
    </rPh>
    <rPh sb="8" eb="9">
      <t>ウツク</t>
    </rPh>
    <rPh sb="11" eb="13">
      <t>コウゴウ</t>
    </rPh>
    <phoneticPr fontId="3"/>
  </si>
  <si>
    <t>タイプ伝承・武人・姫の攻60%DOWN　/　タイプ伝承・武人・姫の防25%UP</t>
    <rPh sb="3" eb="5">
      <t>デンショウ</t>
    </rPh>
    <rPh sb="6" eb="8">
      <t>ブジン</t>
    </rPh>
    <rPh sb="9" eb="10">
      <t>ヒメ</t>
    </rPh>
    <rPh sb="11" eb="12">
      <t>コウ</t>
    </rPh>
    <rPh sb="25" eb="27">
      <t>デンショウ</t>
    </rPh>
    <rPh sb="28" eb="30">
      <t>ブジン</t>
    </rPh>
    <rPh sb="31" eb="32">
      <t>ヒメ</t>
    </rPh>
    <rPh sb="33" eb="34">
      <t>ボウ</t>
    </rPh>
    <phoneticPr fontId="3"/>
  </si>
  <si>
    <t>貞淑な良妻の奉仕</t>
    <phoneticPr fontId="3"/>
  </si>
  <si>
    <t>ハッピーホリデー！</t>
  </si>
  <si>
    <t>渦中の王位継承</t>
    <phoneticPr fontId="3"/>
  </si>
  <si>
    <t>口伝で舞うは、太古の秘曲</t>
    <phoneticPr fontId="3"/>
  </si>
  <si>
    <t>龍と人を絆ぐ力</t>
    <phoneticPr fontId="3"/>
  </si>
  <si>
    <t>やみつきの手触り</t>
    <phoneticPr fontId="3"/>
  </si>
  <si>
    <t>ポルタ・バンデイラ</t>
    <phoneticPr fontId="3"/>
  </si>
  <si>
    <t>お菓子と踊る魔女の王</t>
    <rPh sb="1" eb="3">
      <t>カシ</t>
    </rPh>
    <rPh sb="4" eb="5">
      <t>オド</t>
    </rPh>
    <rPh sb="6" eb="8">
      <t>マジョ</t>
    </rPh>
    <rPh sb="9" eb="10">
      <t>オウ</t>
    </rPh>
    <phoneticPr fontId="3"/>
  </si>
  <si>
    <t>タイプ【妖怪】の攻30%UP　/　タイプ【神秘】の防25%DOWN</t>
    <rPh sb="4" eb="6">
      <t>ヨウカイ</t>
    </rPh>
    <rPh sb="8" eb="9">
      <t>コウ</t>
    </rPh>
    <rPh sb="21" eb="23">
      <t>シンピ</t>
    </rPh>
    <rPh sb="25" eb="26">
      <t>ボウ</t>
    </rPh>
    <phoneticPr fontId="3"/>
  </si>
  <si>
    <t>大化の改新</t>
    <phoneticPr fontId="3"/>
  </si>
  <si>
    <t>聖母レジーナの甘い誘惑</t>
    <phoneticPr fontId="3"/>
  </si>
  <si>
    <t>美しく咲く鹿鳴館の華</t>
    <phoneticPr fontId="3"/>
  </si>
  <si>
    <t>瀬戸内海の酸味に吹かれて</t>
    <phoneticPr fontId="3"/>
  </si>
  <si>
    <t>魔法の呪文あまおう</t>
    <phoneticPr fontId="3"/>
  </si>
  <si>
    <t>甘味スティール</t>
    <phoneticPr fontId="3"/>
  </si>
  <si>
    <t>日の本一の福招き</t>
    <phoneticPr fontId="3"/>
  </si>
  <si>
    <t>行く先にて待ちし仏</t>
    <phoneticPr fontId="3"/>
  </si>
  <si>
    <t>女子の心を集めたる霊験</t>
    <phoneticPr fontId="3"/>
  </si>
  <si>
    <t>授けたる朱色の託宣</t>
    <phoneticPr fontId="3"/>
  </si>
  <si>
    <t>全てを支配する狐の意思</t>
    <phoneticPr fontId="3"/>
  </si>
  <si>
    <t>煙に揺れる死者の魂</t>
    <phoneticPr fontId="3"/>
  </si>
  <si>
    <t>秒針を刻む</t>
    <phoneticPr fontId="3"/>
  </si>
  <si>
    <t>江戸文学最高峰の一角を記す筆</t>
  </si>
  <si>
    <t>京都を救ったシンデレラ</t>
    <phoneticPr fontId="3"/>
  </si>
  <si>
    <t>愛するゆえの辛辣な歌舞伎評</t>
    <phoneticPr fontId="3"/>
  </si>
  <si>
    <t>槍を手にした天使</t>
    <phoneticPr fontId="3"/>
  </si>
  <si>
    <t>沸き立つ紅蓮の焔</t>
    <phoneticPr fontId="3"/>
  </si>
  <si>
    <t>暗黒に染まる赤備え</t>
    <phoneticPr fontId="3"/>
  </si>
  <si>
    <t>島津の賢夫人</t>
    <rPh sb="0" eb="2">
      <t>シマズ</t>
    </rPh>
    <rPh sb="3" eb="4">
      <t>ケン</t>
    </rPh>
    <rPh sb="4" eb="6">
      <t>フジン</t>
    </rPh>
    <phoneticPr fontId="3"/>
  </si>
  <si>
    <t>略奪のメリークリスマス</t>
    <phoneticPr fontId="3"/>
  </si>
  <si>
    <t>聖夜の疾走</t>
    <phoneticPr fontId="3"/>
  </si>
  <si>
    <t>愛に生きた鬼女の品格</t>
    <phoneticPr fontId="3"/>
  </si>
  <si>
    <t>艶めく濃厚な恋の味</t>
    <phoneticPr fontId="3"/>
  </si>
  <si>
    <t>哀しみの怪クジラの歌</t>
  </si>
  <si>
    <t>夫に捧ぐ真実の和歌</t>
    <rPh sb="0" eb="1">
      <t>オット</t>
    </rPh>
    <rPh sb="2" eb="3">
      <t>ササ</t>
    </rPh>
    <rPh sb="4" eb="6">
      <t>シンジツ</t>
    </rPh>
    <rPh sb="7" eb="9">
      <t>ワカ</t>
    </rPh>
    <phoneticPr fontId="3"/>
  </si>
  <si>
    <t>蚕と五穀の生成</t>
    <rPh sb="0" eb="1">
      <t>カイコ</t>
    </rPh>
    <rPh sb="2" eb="4">
      <t>ゴコク</t>
    </rPh>
    <rPh sb="5" eb="7">
      <t>セイセイ</t>
    </rPh>
    <phoneticPr fontId="3"/>
  </si>
  <si>
    <t>日本神話の転換期</t>
    <rPh sb="0" eb="2">
      <t>ニホン</t>
    </rPh>
    <rPh sb="2" eb="4">
      <t>シンワ</t>
    </rPh>
    <rPh sb="5" eb="8">
      <t>テンカンキ</t>
    </rPh>
    <phoneticPr fontId="3"/>
  </si>
  <si>
    <t>聖なる夜のご褒美</t>
    <phoneticPr fontId="3"/>
  </si>
  <si>
    <t>佐助の大挑戦</t>
    <phoneticPr fontId="3"/>
  </si>
  <si>
    <t>"４７"</t>
  </si>
  <si>
    <t>血が味方する勝負運</t>
    <phoneticPr fontId="3"/>
  </si>
  <si>
    <t>仏の御業の空中殺法</t>
    <phoneticPr fontId="3"/>
  </si>
  <si>
    <t>天地を逆転させる雷の槍</t>
    <phoneticPr fontId="3"/>
  </si>
  <si>
    <t>タイプ姫・伝承・神秘の防30％UP</t>
    <phoneticPr fontId="3"/>
  </si>
  <si>
    <t>パンへの疾走と跳躍</t>
    <rPh sb="4" eb="6">
      <t>シッソウ</t>
    </rPh>
    <rPh sb="7" eb="9">
      <t>チョウヤク</t>
    </rPh>
    <phoneticPr fontId="3"/>
  </si>
  <si>
    <t>可憐な日本の乙女</t>
    <phoneticPr fontId="3"/>
  </si>
  <si>
    <t>世界を相手にした舵取り</t>
  </si>
  <si>
    <t>目にも鮮やかな虹色氷</t>
    <phoneticPr fontId="3"/>
  </si>
  <si>
    <t>つれづれと灯ぞ見らるる想い人</t>
    <phoneticPr fontId="3"/>
  </si>
  <si>
    <t>凍らぬための氷</t>
  </si>
  <si>
    <t>タイプ【武人】の攻防50％UP　/　タイプ姫・伝承の攻防30％UP</t>
  </si>
  <si>
    <t>お花見って美味しいんだね！</t>
    <phoneticPr fontId="3"/>
  </si>
  <si>
    <t>はすこっく</t>
    <phoneticPr fontId="3"/>
  </si>
  <si>
    <t>れぷんかむい</t>
    <phoneticPr fontId="3"/>
  </si>
  <si>
    <t>せれぶくしやたまのかみ</t>
    <phoneticPr fontId="3"/>
  </si>
  <si>
    <t>めいこうこいずみやくも</t>
    <phoneticPr fontId="3"/>
  </si>
  <si>
    <t>備考</t>
    <rPh sb="0" eb="2">
      <t>ビコウ</t>
    </rPh>
    <phoneticPr fontId="3"/>
  </si>
  <si>
    <t>空を切り裂く一閃</t>
    <phoneticPr fontId="3"/>
  </si>
  <si>
    <t>タイプ偉人・妖怪・名物の攻15％UP　/　タイプ飲食・武人の攻10％UP</t>
  </si>
  <si>
    <t>くりすますいぶさんたくろーす</t>
    <phoneticPr fontId="3"/>
  </si>
  <si>
    <t>さんぜんいん</t>
    <phoneticPr fontId="3"/>
  </si>
  <si>
    <t>三千伽藍</t>
    <phoneticPr fontId="3"/>
  </si>
  <si>
    <t>西日本?→全国</t>
    <rPh sb="0" eb="1">
      <t>ニシ</t>
    </rPh>
    <rPh sb="1" eb="3">
      <t>ニホン</t>
    </rPh>
    <phoneticPr fontId="3"/>
  </si>
  <si>
    <t>さんたおうこくれでぃさんた</t>
    <phoneticPr fontId="3"/>
  </si>
  <si>
    <t>2017/07防衛戦</t>
    <phoneticPr fontId="3"/>
  </si>
  <si>
    <t>引18</t>
    <rPh sb="0" eb="1">
      <t>イン</t>
    </rPh>
    <phoneticPr fontId="3"/>
  </si>
  <si>
    <t>必殺ねじねじ攻撃</t>
    <phoneticPr fontId="3"/>
  </si>
  <si>
    <t>ベールを脱いだ美貌の女医</t>
    <phoneticPr fontId="3"/>
  </si>
  <si>
    <t>タイプ偉人・妖怪・名物の攻25％UP</t>
    <phoneticPr fontId="3"/>
  </si>
  <si>
    <t>タイプ伝承・武人・姫の防15％UP　/　タイプ偉人・妖怪・名物の攻15％DOWN</t>
  </si>
  <si>
    <t>タイプ名物・妖怪・飲食の攻35％UP　/　タイプ【偉人】の攻20％UP</t>
  </si>
  <si>
    <t>嵐鎮める気高き黒い姫</t>
    <phoneticPr fontId="3"/>
  </si>
  <si>
    <t>タイプ偉人・妖怪・名物の防10％UP　/　タイプ名物・武人・姫・伝承の攻20％DOWN</t>
  </si>
  <si>
    <t>圧倒する王者の威厳</t>
    <phoneticPr fontId="3"/>
  </si>
  <si>
    <t>タイプ神秘・知性派・飲食の攻25％DOWN　/　タイプ知性派・飲食の防10％UP</t>
  </si>
  <si>
    <t>100%→120%(3進)</t>
    <rPh sb="11" eb="12">
      <t>シン</t>
    </rPh>
    <phoneticPr fontId="3"/>
  </si>
  <si>
    <t>妖艶なる女神のブーケ</t>
    <phoneticPr fontId="3"/>
  </si>
  <si>
    <t>ホロ酔い気分に彩る紅葉</t>
    <phoneticPr fontId="3"/>
  </si>
  <si>
    <t>ゆけむりやまむろきえこ</t>
    <phoneticPr fontId="3"/>
  </si>
  <si>
    <t>琵琶の音色に穿つ恋矢</t>
    <rPh sb="0" eb="2">
      <t>ビワ</t>
    </rPh>
    <rPh sb="3" eb="5">
      <t>ネイロ</t>
    </rPh>
    <rPh sb="6" eb="7">
      <t>ウガ</t>
    </rPh>
    <rPh sb="8" eb="9">
      <t>コイ</t>
    </rPh>
    <rPh sb="9" eb="10">
      <t>ヤ</t>
    </rPh>
    <phoneticPr fontId="3"/>
  </si>
  <si>
    <t>タイプ神秘・知性派・飲食の攻70%DOWN　/　タイプ知性派・飲食の防30%UP</t>
    <rPh sb="3" eb="5">
      <t>シンピ</t>
    </rPh>
    <rPh sb="6" eb="8">
      <t>チセイ</t>
    </rPh>
    <rPh sb="8" eb="9">
      <t>ハ</t>
    </rPh>
    <rPh sb="10" eb="12">
      <t>インショク</t>
    </rPh>
    <rPh sb="13" eb="14">
      <t>コウ</t>
    </rPh>
    <rPh sb="27" eb="29">
      <t>チセイ</t>
    </rPh>
    <rPh sb="29" eb="30">
      <t>ハ</t>
    </rPh>
    <rPh sb="31" eb="33">
      <t>インショク</t>
    </rPh>
    <rPh sb="34" eb="35">
      <t>ボウ</t>
    </rPh>
    <phoneticPr fontId="3"/>
  </si>
  <si>
    <t>海神キラーウェイル</t>
    <phoneticPr fontId="3"/>
  </si>
  <si>
    <t>明治の教育者</t>
    <phoneticPr fontId="3"/>
  </si>
  <si>
    <t>完璧な間合いで作り上げし料理</t>
    <phoneticPr fontId="3"/>
  </si>
  <si>
    <t>移り気女子の寛ぎ</t>
    <phoneticPr fontId="3"/>
  </si>
  <si>
    <t>秘境に舞う氷柱</t>
    <phoneticPr fontId="3"/>
  </si>
  <si>
    <t>代々伝わる家宝の因縁</t>
  </si>
  <si>
    <t>かきざきすえひろ</t>
    <phoneticPr fontId="3"/>
  </si>
  <si>
    <t>タイプ伝承・武人・姫の攻25％DOWN　/　タイプ知性派・飲食の防10％UP</t>
  </si>
  <si>
    <t>タイプ【伝承】の攻30％UP　/　タイプ武人・姫の攻15％UP</t>
  </si>
  <si>
    <t>タイプ【姫】の攻40％DOWN　/　タイプ偉人・名物の防12％UP</t>
  </si>
  <si>
    <t>タイプ武人・姫の攻80％DOWN　/　タイプ偉人・名物の防40％UP</t>
  </si>
  <si>
    <t>タイプ神秘・知性派・飲食の防20％UP　/　タイプ伝承・武人・姫の攻75％DOWN</t>
  </si>
  <si>
    <t>タイプ【武人】の攻95％UP　/　タイプ姫・伝承の攻20％UP</t>
  </si>
  <si>
    <t>タイプ伝承・武人・姫の攻30％UP　/　タイプ神秘・知性派・飲食の防40％DOWN</t>
  </si>
  <si>
    <t>タイプ伝承・武人・姫の防30％UP　/　タイプ武人・妖怪・名物・偉人の攻10％DOWN</t>
  </si>
  <si>
    <t>タイプ神秘・知性派の防55％UP　/　タイプ【飲食】の防25％UP</t>
  </si>
  <si>
    <t>タイプ神秘・飲食の防35％UP　/　タイプ【知性派】の防20％UP</t>
  </si>
  <si>
    <t>タイプ伝承・武人・姫の防30％UP　/　タイプ神秘・知性派・飲食の攻40％DOWN</t>
  </si>
  <si>
    <t>タイプ伝承・武人・姫の防60％DOWN　/　タイプ偉人・妖怪・名物の攻25％UP</t>
  </si>
  <si>
    <t>タイプ神秘・飲食の攻35％UP　/　タイプ【知性派】の攻20％UP</t>
  </si>
  <si>
    <t>タイプ偉人・妖怪・名物の攻35％UP　/　タイプ神秘・知性派・飲食の防10％DOWN</t>
  </si>
  <si>
    <t>タイプ姫・伝承の防100％DOWN　/　タイプ偉人・名物の攻20％UP</t>
  </si>
  <si>
    <t>タイプ姫・伝承の攻30％UP　/　タイプ【武人】の攻25％UP</t>
  </si>
  <si>
    <t>タイプ偉人・妖怪・名物の防25％UP　/　タイプ伝承・武人・姫の攻75％DOWN</t>
  </si>
  <si>
    <t>タイプ武人・姫の攻25％UP　/　タイプ【伝承】の攻20％UP</t>
  </si>
  <si>
    <t>タイプ神秘・知性派・飲食の攻15％UP　/　タイプ偉人・妖怪・名物の防95％DOWN</t>
  </si>
  <si>
    <t>タイプ伝承・武人・姫の防30％UP　/　タイプ妖怪・名物・偉人・飲食の攻13％DOWN</t>
  </si>
  <si>
    <t>タイプ伝承・武人・姫の防60％DOWN　/　タイプ偉人・妖怪・名物の攻20％UP</t>
  </si>
  <si>
    <t>タイプ【神秘】の攻30％UP　/　タイプ知性派・飲食の攻15％UP</t>
  </si>
  <si>
    <t>タイプ神秘・知性派・飲食の防20％UP　/　タイプ伝承・武人・姫の攻80％DOWN</t>
  </si>
  <si>
    <t>タイプ姫・伝承の防30％UP　/　タイプ偉人・妖怪・名物の攻12％DOWN</t>
  </si>
  <si>
    <t>タイプ武人・伝承の防40％UP　/　タイプ【姫】の防25％UP</t>
  </si>
  <si>
    <t>タイプ伝承・武人・姫の攻15％UP　/　タイプ神秘・飲食・知性派・武人の防25％DOWN</t>
  </si>
  <si>
    <t>タイプ偉人・妖怪・名物の攻25％UP　/　タイプ神秘・知性派・飲食の防50％DOWN</t>
  </si>
  <si>
    <t>タイプ【名物】の攻30％UP　/　タイプ偉人・妖怪の攻15％UP</t>
  </si>
  <si>
    <t>タイプ偉人・妖怪・名物の攻10％UP　/　タイプ武人・姫・伝承・知性派の防35％DOWN</t>
  </si>
  <si>
    <t>タイプ偉人・妖怪・名物の攻10％UP　/　タイプ妖怪・名物・偉人・神秘の防35％DOWN</t>
  </si>
  <si>
    <t>タイプ偉人・妖怪の防25％UP　/　タイプ【名物】の防10％UP</t>
  </si>
  <si>
    <t>タイプ飲食・知性派・武人の防40％UP　/　タイプ【神秘】の防35％UP</t>
  </si>
  <si>
    <t>タイプ伝承・武人・姫の防15％UP　/　タイプ妖怪・名物・偉人・知性派の攻25％DOWN</t>
  </si>
  <si>
    <t>タイプ伝承・武人・姫の攻15％UP　/　タイプ武人・姫・伝承・知性派の防25％DOWN</t>
  </si>
  <si>
    <t>タイプ伝承・武人・姫の攻35％UP　/　タイプ飲食・武人・名物の防10％DOWN</t>
  </si>
  <si>
    <t>タイプ偉人・妖怪・名物の防40％UP　/　タイプ神秘・知性派・飲食の攻10％DOWN</t>
  </si>
  <si>
    <t>タイプ神秘・知性派・飲食の防60％DOWN　/　タイプ神秘・知性派・飲食の攻25％UP</t>
  </si>
  <si>
    <t>タイプ飲食・武人・名物の防80％DOWN　/　タイプ知性派・飲食の攻25％UP</t>
  </si>
  <si>
    <t>タイプ【姫】の攻30％UP　/　タイプ武人・伝承の攻15％UP</t>
  </si>
  <si>
    <t>タイプ伝承・武人・姫の攻30％UP　/　タイプ名物・知性派・飲食・神秘の防13％DOWN</t>
  </si>
  <si>
    <t>タイプ妖怪・名物の攻50％UP　/　タイプ【偉人】の攻40％UP</t>
  </si>
  <si>
    <t>タイプ妖怪・名物の攻60％UP　/　タイプ【偉人】の攻15％UP</t>
  </si>
  <si>
    <t>タイプ伝承・武人・飲食の攻40％UP　/　タイプ【姫】の攻35％UP</t>
  </si>
  <si>
    <t>タイプ偉人・妖怪・伝承の防40％UP　/　タイプ名物・姫の防35％UP</t>
  </si>
  <si>
    <t>タイプ姫・伝承の攻40％UP　/　タイプ【武人】の攻25％UP</t>
  </si>
  <si>
    <t>タイプ伝承・武人・飲食の攻35％UP　/　タイプ【姫】の攻12％UP</t>
  </si>
  <si>
    <t>タイプ姫・武人・知性派の防40％UP　/　タイプ【伝承】の防12％UP</t>
  </si>
  <si>
    <t>タイプ伝承・武人・姫の攻15％UP　/　タイプ妖怪・名物・偉人・知性派の防25％DOWN</t>
  </si>
  <si>
    <t>タイプ偉人・妖怪・名物の防35％UP　/　タイプ伝承・武人・姫の攻15％DOWN</t>
  </si>
  <si>
    <t>タイプ神秘・知性派・飲食の防60％DOWN　/　タイプ偉人・妖怪・名物の攻20％UP</t>
  </si>
  <si>
    <t>タイプ偉人・妖怪・知性派の防40％UP　/　タイプ【名物】の防30％UP</t>
  </si>
  <si>
    <t>タイプ偉人・妖怪・名物の攻20％UP　/　タイプ神秘・飮食・知性派・姫の防25％DOWN</t>
  </si>
  <si>
    <t>タイプ名物・妖怪・飲食の攻40％UP　/　タイプ【偉人】の攻35％UP</t>
  </si>
  <si>
    <t>タイプ妖怪・名物の防45％UP　/　タイプ伝承・姫・飲食・偉人の防30％UP</t>
  </si>
  <si>
    <t>タイプ偉人・妖怪・名物の攻40％UP　/　タイプ神秘・知性派・飲食の防25％DOWN</t>
  </si>
  <si>
    <t>タイプ姫・伝承の攻30％UP　/　タイプ神秘・知性派・飲食の防12％DOWN</t>
  </si>
  <si>
    <t>タイプ伝承・武人・姫の攻30％UP　/　タイプ妖怪・名物・偉人・飲食の防13％DOWN</t>
  </si>
  <si>
    <t>タイプ伝承・武人・姫の攻60％DOWN　/　タイプ伝承・武人・姫の防25％UP</t>
  </si>
  <si>
    <t>タイプ名物・武人の攻55％UP　/　タイプ姫・伝承の攻30％UP</t>
  </si>
  <si>
    <t>タイプ武人・伝承の防90％DOWN　/　タイプ偉人・名物の攻30％UP</t>
  </si>
  <si>
    <t>タイプ姫・妖怪の防55％UP　/　タイプ偉人・名物・伝承の防30％UP</t>
  </si>
  <si>
    <t>タイプ【神秘】の防50％UP　/　タイプ知性派・飲食・名物・偉人の防25％UP</t>
  </si>
  <si>
    <t>タイプ神秘・知性派・飲食の防30％UP　/　タイプ伝承・武人・姫の攻50％DOWN</t>
  </si>
  <si>
    <t>タイプ神秘・知性派・飲食の攻30％UP　/　タイプ知性派・飲食の防10％DOWN</t>
  </si>
  <si>
    <t>タイプ姫・伝承の攻30％UP　/　タイプ【武人】の攻45％UP</t>
  </si>
  <si>
    <t>タイプ伝承・武人・飲食の防30％UP　/　タイプ【姫】の防12％UP</t>
  </si>
  <si>
    <t>タイプ武人・伝承の攻25％UP　/　タイプ【姫】の攻10％UP</t>
  </si>
  <si>
    <t>タイプ伝承・武人・姫の攻15％UP　/　タイプ神秘・飲食・知性派・伝承の防25％DOWN</t>
  </si>
  <si>
    <t>タイプ神秘・飲食の防100％DOWN　/　タイプ偉人・名物の攻20％UP</t>
  </si>
  <si>
    <t>タイプ偉人・妖怪・名物の防10％UP　/　タイプ名物・武人・姫・伝承の攻35％DOWN</t>
  </si>
  <si>
    <t>タイプ偉人・妖怪の防30％UP　/　タイプ【名物】の防75％UP</t>
  </si>
  <si>
    <t>タイプ偉人・神秘の攻50％UP　/　タイプ知性派・飲食の攻30％UP</t>
  </si>
  <si>
    <t>タイプ飲食・知性派・武人の防40％UP　/　タイプ【神秘】の防12％UP</t>
  </si>
  <si>
    <t>タイプ偉人・妖怪・名物の防80％DOWN　/　タイプ知性派・飲食の攻25％UP</t>
  </si>
  <si>
    <t>タイプ知性派・飲食・姫の防40％UP　/　タイプ【神秘】の防30％UP</t>
  </si>
  <si>
    <t>タイプ【武人】の防50％UP　/　タイプ姫・伝承の防20％UP</t>
  </si>
  <si>
    <t>タイプ【武人】の防50％UP　/　タイプ姫・伝承・神秘・飲食の防25％UP</t>
  </si>
  <si>
    <t>タイプ武人・姫の攻45％UP　/　タイプ【伝承】の攻20％UP</t>
  </si>
  <si>
    <t>タイプ名物・偉人・武人の攻40％UP　/　タイプ【妖怪】の攻30％UP</t>
  </si>
  <si>
    <t>タイプ伝承・妖怪の攻55％UP　/　タイプ偉人・名物・姫の攻30％UP</t>
  </si>
  <si>
    <t>タイプ名物・妖怪・飲食の防40％UP　/　タイプ【偉人】の防15％UP</t>
  </si>
  <si>
    <t>タイプ姫・伝承・妖怪の攻40％UP　/　タイプ【武人】の攻35％UP</t>
  </si>
  <si>
    <t>タイプ神秘・姫の攻50％UP　/　タイプ知性派・飲食の攻30％UP</t>
  </si>
  <si>
    <t>タイプ神秘・飲食の攻40％UP　/　タイプ【知性派】の攻15％UP</t>
  </si>
  <si>
    <t>タイプ伝承・神秘の防55％UP　/　タイプ飲食・知性派・武人の防30％UP</t>
  </si>
  <si>
    <t>130%→140%(3進)</t>
    <rPh sb="11" eb="12">
      <t>シン</t>
    </rPh>
    <phoneticPr fontId="3"/>
  </si>
  <si>
    <t>温泉満喫明神</t>
  </si>
  <si>
    <t>ゆけむりかんだみょうじん</t>
  </si>
  <si>
    <t>水も滴る美貌の龍姫</t>
    <phoneticPr fontId="3"/>
  </si>
  <si>
    <t>なつゆうえんちたつこひめ</t>
    <phoneticPr fontId="3"/>
  </si>
  <si>
    <t>19+?+?,?</t>
    <phoneticPr fontId="3"/>
  </si>
  <si>
    <t>奇才を唸らせる美人絵師</t>
    <phoneticPr fontId="3"/>
  </si>
  <si>
    <t>うんどうかいかつしかおうい</t>
    <phoneticPr fontId="3"/>
  </si>
  <si>
    <t>おしょうがつうしごぜん</t>
    <phoneticPr fontId="3"/>
  </si>
  <si>
    <t>牛鬼姫の神頼み</t>
    <rPh sb="0" eb="1">
      <t>ウシ</t>
    </rPh>
    <rPh sb="1" eb="2">
      <t>オニ</t>
    </rPh>
    <rPh sb="2" eb="3">
      <t>ヒメ</t>
    </rPh>
    <rPh sb="4" eb="6">
      <t>カミダノ</t>
    </rPh>
    <phoneticPr fontId="3"/>
  </si>
  <si>
    <t>魔女の振る舞い</t>
    <phoneticPr fontId="3"/>
  </si>
  <si>
    <t>せんごくうみびらききんめだい</t>
    <phoneticPr fontId="3"/>
  </si>
  <si>
    <t>金色に輝く大きな瞳</t>
    <phoneticPr fontId="3"/>
  </si>
  <si>
    <t>げいしゅんいくまつ</t>
  </si>
  <si>
    <t>書初め・才色兼備</t>
  </si>
  <si>
    <t>南蛮渡来の魔性菓子</t>
    <phoneticPr fontId="3"/>
  </si>
  <si>
    <t>はろうぃんこんぺいとう</t>
    <phoneticPr fontId="3"/>
  </si>
  <si>
    <t>水鉄砲による真夏の洗礼</t>
    <phoneticPr fontId="3"/>
  </si>
  <si>
    <t>なつゆうえんちきょうごくまりあ</t>
    <phoneticPr fontId="3"/>
  </si>
  <si>
    <t>ほんめいちょこのっぺらぼう</t>
    <phoneticPr fontId="3"/>
  </si>
  <si>
    <t>照れ隠しの仮面</t>
    <phoneticPr fontId="3"/>
  </si>
  <si>
    <t>あんどろいどおおともそうりん</t>
    <phoneticPr fontId="3"/>
  </si>
  <si>
    <t>16+11+(15+13)</t>
    <phoneticPr fontId="3"/>
  </si>
  <si>
    <t>宝産む猫の本気</t>
    <phoneticPr fontId="3"/>
  </si>
  <si>
    <t>うんどうかいりゅうぐうねこ</t>
    <phoneticPr fontId="3"/>
  </si>
  <si>
    <t>ほんめいちょこちょこれーとけーき</t>
    <phoneticPr fontId="3"/>
  </si>
  <si>
    <t>その想いが本命チョコ</t>
    <phoneticPr fontId="3"/>
  </si>
  <si>
    <t>タイプ神秘・知性派の防45％UP　/　タイプ【飲食】の防15％UP</t>
  </si>
  <si>
    <t>レア度</t>
    <rPh sb="2" eb="3">
      <t>ド</t>
    </rPh>
    <phoneticPr fontId="3"/>
  </si>
  <si>
    <t>SSR</t>
    <phoneticPr fontId="3"/>
  </si>
  <si>
    <t>ログインボーナス5進化SSR・進化段階無視不可</t>
    <rPh sb="9" eb="11">
      <t>シンカ</t>
    </rPh>
    <rPh sb="15" eb="17">
      <t>シンカ</t>
    </rPh>
    <rPh sb="17" eb="19">
      <t>ダンカイ</t>
    </rPh>
    <rPh sb="19" eb="21">
      <t>ムシ</t>
    </rPh>
    <rPh sb="21" eb="23">
      <t>フカ</t>
    </rPh>
    <phoneticPr fontId="3"/>
  </si>
  <si>
    <t>タイプ【名物】の攻30％DOWN</t>
    <phoneticPr fontId="3"/>
  </si>
  <si>
    <t>同盟戦 2020年1月,2月,3月</t>
    <rPh sb="0" eb="2">
      <t>ドウメイ</t>
    </rPh>
    <rPh sb="2" eb="3">
      <t>セン</t>
    </rPh>
    <rPh sb="8" eb="9">
      <t>ネン</t>
    </rPh>
    <rPh sb="10" eb="11">
      <t>ガツ</t>
    </rPh>
    <rPh sb="13" eb="14">
      <t>ガツ</t>
    </rPh>
    <rPh sb="16" eb="17">
      <t>ガツ</t>
    </rPh>
    <phoneticPr fontId="3"/>
  </si>
  <si>
    <t>同盟戦 2020年4月,5月,6月</t>
    <rPh sb="0" eb="2">
      <t>ドウメイ</t>
    </rPh>
    <rPh sb="2" eb="3">
      <t>セン</t>
    </rPh>
    <rPh sb="10" eb="11">
      <t>ガツ</t>
    </rPh>
    <rPh sb="13" eb="14">
      <t>ガツ</t>
    </rPh>
    <rPh sb="16" eb="17">
      <t>ガツ</t>
    </rPh>
    <phoneticPr fontId="3"/>
  </si>
  <si>
    <t>神秘</t>
    <rPh sb="0" eb="2">
      <t>シンピ</t>
    </rPh>
    <phoneticPr fontId="1"/>
  </si>
  <si>
    <t>知性派</t>
    <rPh sb="0" eb="2">
      <t>チセイ</t>
    </rPh>
    <rPh sb="2" eb="3">
      <t>ハ</t>
    </rPh>
    <phoneticPr fontId="1"/>
  </si>
  <si>
    <t>姫</t>
    <rPh sb="0" eb="1">
      <t>ヒメ</t>
    </rPh>
    <phoneticPr fontId="1"/>
  </si>
  <si>
    <t>妖怪</t>
    <rPh sb="0" eb="2">
      <t>ヨウカイ</t>
    </rPh>
    <phoneticPr fontId="1"/>
  </si>
  <si>
    <t>伝承</t>
    <rPh sb="0" eb="2">
      <t>デンショウ</t>
    </rPh>
    <phoneticPr fontId="1"/>
  </si>
  <si>
    <t>偉人</t>
    <rPh sb="0" eb="2">
      <t>イジン</t>
    </rPh>
    <phoneticPr fontId="1"/>
  </si>
  <si>
    <t>粉雪の舞踏会</t>
    <rPh sb="0" eb="2">
      <t>コナユキ</t>
    </rPh>
    <rPh sb="3" eb="6">
      <t>ブトウカイ</t>
    </rPh>
    <phoneticPr fontId="1"/>
  </si>
  <si>
    <t>超論理的推理</t>
    <rPh sb="0" eb="1">
      <t>チョウ</t>
    </rPh>
    <rPh sb="1" eb="4">
      <t>ロンリテキ</t>
    </rPh>
    <rPh sb="4" eb="6">
      <t>スイリ</t>
    </rPh>
    <phoneticPr fontId="1"/>
  </si>
  <si>
    <t>桃源郷の一輪花</t>
    <rPh sb="0" eb="3">
      <t>トウゲンキョウ</t>
    </rPh>
    <rPh sb="4" eb="6">
      <t>イチリン</t>
    </rPh>
    <rPh sb="6" eb="7">
      <t>カ</t>
    </rPh>
    <phoneticPr fontId="1"/>
  </si>
  <si>
    <t>鎮魂の大鎌</t>
    <rPh sb="0" eb="2">
      <t>チンコン</t>
    </rPh>
    <rPh sb="3" eb="5">
      <t>オオガマ</t>
    </rPh>
    <phoneticPr fontId="1"/>
  </si>
  <si>
    <t>神宿る天性の裁縫術</t>
    <rPh sb="0" eb="1">
      <t>カミ</t>
    </rPh>
    <rPh sb="1" eb="2">
      <t>ヤド</t>
    </rPh>
    <rPh sb="3" eb="5">
      <t>テンセイ</t>
    </rPh>
    <rPh sb="6" eb="8">
      <t>サイホウ</t>
    </rPh>
    <rPh sb="8" eb="9">
      <t>ジュツ</t>
    </rPh>
    <phoneticPr fontId="1"/>
  </si>
  <si>
    <t>タイプ知性派・飲食の攻40％UP　/　所属が【北海道・東北】とそれに属する県、および【全国】【東日本】の攻30％UP</t>
    <rPh sb="10" eb="11">
      <t>コウ</t>
    </rPh>
    <rPh sb="52" eb="53">
      <t>コウ</t>
    </rPh>
    <phoneticPr fontId="1"/>
  </si>
  <si>
    <t>タイプ神秘・飲食の攻40％UP　/　所属が【関東】とそれに属する県、および【全国】【東日本】の攻30％UP</t>
    <rPh sb="9" eb="10">
      <t>コウ</t>
    </rPh>
    <rPh sb="47" eb="48">
      <t>コウ</t>
    </rPh>
    <phoneticPr fontId="1"/>
  </si>
  <si>
    <t>タイプ武人・伝承の防40％UP　/　所属が【中部】とそれに属する県、および【全国】【東日本】の防30％UP</t>
    <rPh sb="3" eb="5">
      <t>ブジン</t>
    </rPh>
    <rPh sb="6" eb="8">
      <t>デンショウ</t>
    </rPh>
    <rPh sb="9" eb="10">
      <t>ボウ</t>
    </rPh>
    <rPh sb="47" eb="48">
      <t>ボウ</t>
    </rPh>
    <phoneticPr fontId="1"/>
  </si>
  <si>
    <t>タイプ偉人・名物の防40％UP　/　所属が【近畿】とそれに属する県、および【全国】【西日本】の防30％UP</t>
    <rPh sb="3" eb="5">
      <t>イジン</t>
    </rPh>
    <rPh sb="6" eb="8">
      <t>メイブツ</t>
    </rPh>
    <rPh sb="9" eb="10">
      <t>ボウ</t>
    </rPh>
    <rPh sb="47" eb="48">
      <t>ボウ</t>
    </rPh>
    <phoneticPr fontId="1"/>
  </si>
  <si>
    <t>タイプ武人・姫の防40％UP　/　所属が【中国・四国】とそれに属する県、および【全国】【西日本】の防30％UP</t>
    <rPh sb="3" eb="5">
      <t>ブジン</t>
    </rPh>
    <rPh sb="6" eb="7">
      <t>ヒメ</t>
    </rPh>
    <rPh sb="8" eb="9">
      <t>ボウ</t>
    </rPh>
    <rPh sb="49" eb="50">
      <t>ボウ</t>
    </rPh>
    <phoneticPr fontId="1"/>
  </si>
  <si>
    <t>タイプ妖怪・名物の攻40％UP　/　所属が【九州・沖縄】とそれに属する県、および【全国】【西日本】の攻30％UP</t>
    <rPh sb="3" eb="5">
      <t>ヨウカイ</t>
    </rPh>
    <rPh sb="6" eb="8">
      <t>メイブツ</t>
    </rPh>
    <rPh sb="9" eb="10">
      <t>コウ</t>
    </rPh>
    <rPh sb="50" eb="51">
      <t>コウ</t>
    </rPh>
    <phoneticPr fontId="1"/>
  </si>
  <si>
    <t>すのうふぇありー</t>
  </si>
  <si>
    <t>しつじたんていまぎー</t>
  </si>
  <si>
    <t>ぴーちぷりんせす</t>
  </si>
  <si>
    <t>さいきりんぐがーる</t>
  </si>
  <si>
    <t>さーかすのまじょ</t>
  </si>
  <si>
    <t>そーいんぐますたー</t>
  </si>
  <si>
    <t>真夜中煌めく曲芸の魔女</t>
    <rPh sb="0" eb="3">
      <t>マヨナカ</t>
    </rPh>
    <rPh sb="3" eb="4">
      <t>キラ</t>
    </rPh>
    <rPh sb="6" eb="8">
      <t>キョクゲイ</t>
    </rPh>
    <rPh sb="9" eb="11">
      <t>マジョ</t>
    </rPh>
    <phoneticPr fontId="3"/>
  </si>
  <si>
    <t>画像</t>
    <rPh sb="0" eb="2">
      <t>ガゾウ</t>
    </rPh>
    <phoneticPr fontId="3"/>
  </si>
  <si>
    <t>【神童】二宮金次郎</t>
  </si>
  <si>
    <t>【キューピッド】三村鶴</t>
  </si>
  <si>
    <t>【雪の王国】京飴</t>
  </si>
  <si>
    <t>登呂遺跡</t>
  </si>
  <si>
    <t>【銀吹雪】雪女郎</t>
  </si>
  <si>
    <t>【鍬神】アヂスキタカヒコネ</t>
  </si>
  <si>
    <t>【酒乱忘年会】北原怜子</t>
  </si>
  <si>
    <t>朽木マグダレナ</t>
  </si>
  <si>
    <t>生沢クノ</t>
  </si>
  <si>
    <t>サーバルキャット</t>
  </si>
  <si>
    <t>【酔心地】名月姫</t>
  </si>
  <si>
    <t>アオノリュウゼツラン</t>
  </si>
  <si>
    <t>【上杉神社】上杉謙信</t>
  </si>
  <si>
    <t>かにめし弁当ちゃん</t>
  </si>
  <si>
    <t>【将棋】白蔵主</t>
  </si>
  <si>
    <t>初代西川扇蔵</t>
  </si>
  <si>
    <t>火闌降命</t>
  </si>
  <si>
    <t>【ねこみみ】ねね</t>
  </si>
  <si>
    <t>【アラビアン】ハバネロ</t>
  </si>
  <si>
    <t>小山内薫</t>
  </si>
  <si>
    <t>二代目島津源蔵</t>
  </si>
  <si>
    <t>大山</t>
  </si>
  <si>
    <t>【肝試しホラー】小少将</t>
  </si>
  <si>
    <t>カツオノエボシ</t>
  </si>
  <si>
    <t>【元旦】福姫</t>
  </si>
  <si>
    <t>【お花見】満天姫</t>
  </si>
  <si>
    <t>【おもちゃ】アワリティア</t>
  </si>
  <si>
    <t>百足姫</t>
  </si>
  <si>
    <t>【招き猫】お鶴明神</t>
  </si>
  <si>
    <t>榊原ルイ</t>
  </si>
  <si>
    <t>【羽子板大戦】松川姫</t>
  </si>
  <si>
    <t>【夏遊園地】辰子姫</t>
  </si>
  <si>
    <t>【お部屋】ダリア</t>
  </si>
  <si>
    <t>洞爺湖</t>
  </si>
  <si>
    <t>【七夕】アキタイヌくん</t>
  </si>
  <si>
    <t>[新生]ハッカちゃん</t>
  </si>
  <si>
    <t>【ちょこの日】どさんこちゃん</t>
  </si>
  <si>
    <t>【湯けむり】山室機恵子</t>
  </si>
  <si>
    <t>【お料理】園部秀雄</t>
  </si>
  <si>
    <t>【執事喫茶】長沢芦雪</t>
  </si>
  <si>
    <t>【響き渡る音色】園部秀雄</t>
  </si>
  <si>
    <t>レプンカムイ</t>
  </si>
  <si>
    <t>【水無月婚】富主姫</t>
  </si>
  <si>
    <t>パヨカカムイ</t>
  </si>
  <si>
    <t>【キューピッド】富主姫</t>
  </si>
  <si>
    <t>山川二葉</t>
  </si>
  <si>
    <t>【年末大掃除】千葉栄次郎</t>
  </si>
  <si>
    <t>伊勢姫</t>
  </si>
  <si>
    <t>不知八幡森</t>
  </si>
  <si>
    <t>【お正月】牛御前</t>
  </si>
  <si>
    <t>【闘技場】セスタス</t>
  </si>
  <si>
    <t>【鬼切衆】ゴールド</t>
  </si>
  <si>
    <t>【運動会】葛飾応為</t>
  </si>
  <si>
    <t>【ブロードウェイ】今川焼</t>
  </si>
  <si>
    <t>【お天気のお姉さん】松下乙女</t>
  </si>
  <si>
    <t>【鬼切衆】黒姫</t>
  </si>
  <si>
    <t>【幽精】黒百合伝説</t>
  </si>
  <si>
    <t>【迎春】山川登美子</t>
  </si>
  <si>
    <t>[新生]【迎春】山川登美子</t>
  </si>
  <si>
    <t>【ちょこの日】豊竹呂昇</t>
  </si>
  <si>
    <t>【戦国海開き】キンメダイ</t>
  </si>
  <si>
    <t>【本命チョコ】のっぺらぼう</t>
  </si>
  <si>
    <t>【だるま市】月見酒ちゃん</t>
  </si>
  <si>
    <t>【七福神】オロチの武者</t>
  </si>
  <si>
    <t>【イースターバニー】豪姫</t>
  </si>
  <si>
    <t>【水無月婚】五龍局</t>
  </si>
  <si>
    <t>天遊永寿</t>
  </si>
  <si>
    <t>【湯けむり】瑤泉院</t>
  </si>
  <si>
    <t>【トレジャー】桃太郎</t>
  </si>
  <si>
    <t>【ハロウィン】鶴の恩返し</t>
  </si>
  <si>
    <t>【ビキニガール】八上姫</t>
  </si>
  <si>
    <t>【ちょこの日】珊瑚色</t>
  </si>
  <si>
    <t>【迎春】バケダヌキ</t>
  </si>
  <si>
    <t>【獣水着】金刀比羅宮ちゃん</t>
  </si>
  <si>
    <t>【清流めぐり】明石レジーナ</t>
  </si>
  <si>
    <t>【レースクイーン】メロンパン</t>
  </si>
  <si>
    <t>【ハロウィン】パンプキンクイーン</t>
  </si>
  <si>
    <t>【浴衣】スセリビメ</t>
  </si>
  <si>
    <t>【お正月】小泉八雲</t>
  </si>
  <si>
    <t>【旧スク水】立花誾千代</t>
  </si>
  <si>
    <t>白狐の大芝居</t>
  </si>
  <si>
    <t>【運動会】竜宮猫</t>
  </si>
  <si>
    <t>【水無月婚】楠本イネ</t>
  </si>
  <si>
    <t>【鬼切衆】よりよりちゃん</t>
  </si>
  <si>
    <t>【本命チョコ】チョコレートケーキ</t>
  </si>
  <si>
    <t>[新生]【鬼切衆】よりよりちゃん</t>
  </si>
  <si>
    <t>【タロット】亀井少琹</t>
  </si>
  <si>
    <t>あいすくりんちゃん</t>
  </si>
  <si>
    <t>【黒騎士】真田幸村</t>
  </si>
  <si>
    <t>【幻獣】島左近</t>
  </si>
  <si>
    <t>【プロレス】中将姫</t>
  </si>
  <si>
    <t>【運動会】白児</t>
  </si>
  <si>
    <t>【ラッピング】乙女椿</t>
  </si>
  <si>
    <t>ディープ・ブルー</t>
  </si>
  <si>
    <t>【一緒にお花見】ハチコウ</t>
  </si>
  <si>
    <t>【氷吹】氷柱使いヤーマ</t>
  </si>
  <si>
    <t>豊穣の女神フリッグ</t>
  </si>
  <si>
    <t>【闘牛】トレロ・カモミロ</t>
  </si>
  <si>
    <t>グレーテル</t>
  </si>
  <si>
    <t>パヴァーリア王女</t>
  </si>
  <si>
    <t>【サンタ王国】ナイトメア</t>
  </si>
  <si>
    <t>自由の女神マリアンヌ</t>
  </si>
  <si>
    <t>エレメンタラー</t>
  </si>
  <si>
    <t>【羅盤】陰陽のジオマンサー</t>
  </si>
  <si>
    <t>煉獄の使者プラテア</t>
  </si>
  <si>
    <t>星読みの天文学者</t>
  </si>
  <si>
    <t>カエルデ</t>
  </si>
  <si>
    <t>赤炎のトリス</t>
  </si>
  <si>
    <t>【サンタ王国】サンタクイーン</t>
  </si>
  <si>
    <t>舞蝶ミシェルー</t>
  </si>
  <si>
    <t>グーラ</t>
  </si>
  <si>
    <t>高機動型パトバトラー</t>
  </si>
  <si>
    <t>Dr.メディック</t>
  </si>
  <si>
    <t>ファイアファイター</t>
  </si>
  <si>
    <t>ムテキセンカンヤマト</t>
  </si>
  <si>
    <t>スペースヒメジZ</t>
  </si>
  <si>
    <t>ガントリークレーンMk-２</t>
  </si>
  <si>
    <t>古御堂紫雲</t>
  </si>
  <si>
    <t>円城寺ケイト</t>
  </si>
  <si>
    <t>傀儡 麻里</t>
  </si>
  <si>
    <t>夜見</t>
  </si>
  <si>
    <t>鷹司妃</t>
  </si>
  <si>
    <t>新ヶ江幽</t>
  </si>
  <si>
    <t>ユノ カーライル</t>
  </si>
  <si>
    <t>王城宵</t>
  </si>
  <si>
    <t>トニーウェン</t>
  </si>
  <si>
    <t>ギャングマ</t>
  </si>
  <si>
    <t>ひめらぎゆきかぜ</t>
  </si>
  <si>
    <t>鮫島晶</t>
  </si>
  <si>
    <t>薄羽ベルンシュタイン</t>
  </si>
  <si>
    <t>畔道カリン</t>
  </si>
  <si>
    <t>畔上明璃花</t>
  </si>
  <si>
    <t>弦城遊</t>
  </si>
  <si>
    <t>雨漏樟葉</t>
  </si>
  <si>
    <t>【聖】サマンサ バローズ</t>
  </si>
  <si>
    <t>【聖】ブリジット ローガン</t>
  </si>
  <si>
    <t>【聖】成宮 希来里</t>
  </si>
  <si>
    <t>クレスティル玲奈</t>
  </si>
  <si>
    <t>小山田勇音</t>
  </si>
  <si>
    <t>宝塚まりも</t>
  </si>
  <si>
    <t>早乙女麗一</t>
  </si>
  <si>
    <t>龍王院五月雨</t>
  </si>
  <si>
    <t>永洞亜由美</t>
  </si>
  <si>
    <t>執事探偵マギー</t>
  </si>
  <si>
    <t>ピーチプリンセス</t>
  </si>
  <si>
    <t>サイキリングガール</t>
  </si>
  <si>
    <t>サーカスの魔女</t>
  </si>
  <si>
    <t>マッドハッター</t>
  </si>
  <si>
    <t>経営の長女メルロ</t>
  </si>
  <si>
    <t>源義光</t>
  </si>
  <si>
    <t>お松大明神</t>
  </si>
  <si>
    <t>龍神水</t>
  </si>
  <si>
    <t>【エンジェル】うずらの卵ちゃん</t>
  </si>
  <si>
    <t>スコロペンドラ</t>
  </si>
  <si>
    <t>おやゆび姫</t>
  </si>
  <si>
    <t>阿古御局</t>
  </si>
  <si>
    <t>菜の花</t>
  </si>
  <si>
    <t>【紫陽花】京極伊知子</t>
  </si>
  <si>
    <t>ハタハタ</t>
  </si>
  <si>
    <t>飯塚伊賀七</t>
  </si>
  <si>
    <t>南京玉すだれ</t>
  </si>
  <si>
    <t>和田惟政</t>
  </si>
  <si>
    <t>武市半平太</t>
  </si>
  <si>
    <t>赤舌</t>
  </si>
  <si>
    <t>相楽総三</t>
  </si>
  <si>
    <t>早川徳次</t>
  </si>
  <si>
    <t>松の丸殿</t>
  </si>
  <si>
    <t>大神実命</t>
  </si>
  <si>
    <t>アグー豚ちゃん</t>
  </si>
  <si>
    <t>木村芥舟</t>
  </si>
  <si>
    <t>飛騨和牛</t>
  </si>
  <si>
    <t>猿田彦大神</t>
  </si>
  <si>
    <t>銭形砂絵</t>
  </si>
  <si>
    <t>メルキーシル</t>
  </si>
  <si>
    <t>トルムシャイト</t>
  </si>
  <si>
    <t>ティシュトリヤ</t>
  </si>
  <si>
    <t>藤壺宮</t>
  </si>
  <si>
    <t>メフィストフェレス</t>
  </si>
  <si>
    <t>シラリカ姫</t>
  </si>
  <si>
    <t>青ヶ島ちゃん</t>
  </si>
  <si>
    <t>待賢門院堀河</t>
  </si>
  <si>
    <t>井伊直弼</t>
  </si>
  <si>
    <t>元親夫人</t>
  </si>
  <si>
    <t>南部晴政</t>
  </si>
  <si>
    <t>足利嶋姫</t>
  </si>
  <si>
    <t>旧鼠</t>
  </si>
  <si>
    <t>あんころ餅</t>
  </si>
  <si>
    <t>平賀譲</t>
  </si>
  <si>
    <t>とうもろこしちゃん</t>
  </si>
  <si>
    <t>神田明神</t>
  </si>
  <si>
    <t>近藤内蔵之助</t>
  </si>
  <si>
    <t>中原中也</t>
  </si>
  <si>
    <t>名刀木千把丸</t>
  </si>
  <si>
    <t>ウォルター・ウェストン</t>
  </si>
  <si>
    <t>金龍の舞</t>
  </si>
  <si>
    <t>鬼太鼓</t>
  </si>
  <si>
    <t>後神</t>
  </si>
  <si>
    <t>村上武吉</t>
  </si>
  <si>
    <t>夢野久作</t>
  </si>
  <si>
    <t>ニポポ人形</t>
  </si>
  <si>
    <t>ボードワン博士</t>
  </si>
  <si>
    <t>猿鬼伝説</t>
  </si>
  <si>
    <t>あなご飯</t>
  </si>
  <si>
    <t>コンスタンティノ・ドラード</t>
  </si>
  <si>
    <t>サマイクルカムイ</t>
  </si>
  <si>
    <t>水戸納豆ちゃん</t>
  </si>
  <si>
    <t>夙姫</t>
  </si>
  <si>
    <t>ムラサ</t>
  </si>
  <si>
    <t>玉代姫</t>
  </si>
  <si>
    <t>日忌様</t>
  </si>
  <si>
    <t>名古屋コーチン</t>
  </si>
  <si>
    <t>豊臣秀頼</t>
  </si>
  <si>
    <t>クシヤタマノカミ</t>
  </si>
  <si>
    <t>東の艶姫演義</t>
  </si>
  <si>
    <t>西の艶姫演義</t>
  </si>
  <si>
    <t>絢爛艶姫演義</t>
  </si>
  <si>
    <t>東の水墨演義</t>
  </si>
  <si>
    <t>西の水墨演義</t>
  </si>
  <si>
    <t>絶景水墨演義</t>
  </si>
  <si>
    <t>冬のデートスポット～東日本～</t>
  </si>
  <si>
    <t>西のデートスポット～西日本～</t>
  </si>
  <si>
    <t>冬のデートすぽっと特集</t>
  </si>
  <si>
    <t>東の刃狼演義</t>
  </si>
  <si>
    <t>西の刃狼演義</t>
  </si>
  <si>
    <t>幕末刃狼演義</t>
  </si>
  <si>
    <t>東の丼飯演義</t>
  </si>
  <si>
    <t>西の丼飯演義</t>
  </si>
  <si>
    <t>美味丼飯演義</t>
  </si>
  <si>
    <t>東の文藝演義</t>
  </si>
  <si>
    <t>西の文藝演義</t>
  </si>
  <si>
    <t>傑作文藝演義</t>
  </si>
  <si>
    <t>東の蒸気街演義</t>
  </si>
  <si>
    <t>西の蒸気街演義</t>
  </si>
  <si>
    <t>奇想蒸気街演義</t>
  </si>
  <si>
    <t>東の霊鳥演義</t>
  </si>
  <si>
    <t>西の霊鳥演義</t>
  </si>
  <si>
    <t>天武霊鳥演義</t>
  </si>
  <si>
    <t>東の月光演義</t>
  </si>
  <si>
    <t>西の月光演義</t>
  </si>
  <si>
    <t>清澄月光演義</t>
  </si>
  <si>
    <t>東の翔天演義</t>
  </si>
  <si>
    <t>西の翔天演義</t>
  </si>
  <si>
    <t>快援翔天演義</t>
  </si>
  <si>
    <t>東の武双演義</t>
  </si>
  <si>
    <t>西の武双演義</t>
  </si>
  <si>
    <t>連戟武双演義</t>
  </si>
  <si>
    <t>東の聰明演義</t>
  </si>
  <si>
    <t>西の聰明演義</t>
  </si>
  <si>
    <t>五學聰明演技</t>
  </si>
  <si>
    <t>東の極姫演義</t>
  </si>
  <si>
    <t>西の極姫演義</t>
  </si>
  <si>
    <t>烈日極姫演義</t>
  </si>
  <si>
    <t>東の花札演義</t>
  </si>
  <si>
    <t>西の花札演義</t>
  </si>
  <si>
    <t>四季花札演義</t>
  </si>
  <si>
    <t>東の舞楽演義</t>
  </si>
  <si>
    <t>西の舞楽演義</t>
  </si>
  <si>
    <t>明媚舞楽演義</t>
  </si>
  <si>
    <t>東の肉叢演義</t>
  </si>
  <si>
    <t>西の肉叢演義</t>
  </si>
  <si>
    <t>豊艶肉叢演義</t>
  </si>
  <si>
    <t>東の撩乱演義</t>
  </si>
  <si>
    <t>西の撩乱演義</t>
  </si>
  <si>
    <t>刀戟撩乱演義</t>
  </si>
  <si>
    <t>東の怪談演義</t>
  </si>
  <si>
    <t>西の怪談演義</t>
  </si>
  <si>
    <t>懐古怪談演義</t>
  </si>
  <si>
    <t>東の渡来演義</t>
  </si>
  <si>
    <t>西の渡来演義</t>
  </si>
  <si>
    <t>異邦渡来演義</t>
  </si>
  <si>
    <t>東の菩薩演義</t>
  </si>
  <si>
    <t>西の菩薩演義</t>
  </si>
  <si>
    <t>救世菩薩演義</t>
  </si>
  <si>
    <t>輪廻のニュンペー</t>
  </si>
  <si>
    <t>孝謙天皇</t>
  </si>
  <si>
    <t>雪姫・紅葉姫</t>
  </si>
  <si>
    <t>虎徹</t>
  </si>
  <si>
    <t>北条時宗</t>
  </si>
  <si>
    <t>マジムン</t>
  </si>
  <si>
    <t>ネモフィラ</t>
  </si>
  <si>
    <t>八咫鏡</t>
  </si>
  <si>
    <t>陰陽師イロハ</t>
  </si>
  <si>
    <t>中浦ジュリアン</t>
  </si>
  <si>
    <t>北海道いくらちゃん</t>
  </si>
  <si>
    <t>一本だたら</t>
  </si>
  <si>
    <t>白樺</t>
  </si>
  <si>
    <t>乙子狭姫</t>
  </si>
  <si>
    <t>泉鏡花</t>
  </si>
  <si>
    <t>今泉美代姫</t>
  </si>
  <si>
    <t>【翠渓】新島八重</t>
  </si>
  <si>
    <t>殿様寿司</t>
  </si>
  <si>
    <t>フリカムイ</t>
  </si>
  <si>
    <t>五輪書</t>
  </si>
  <si>
    <t>桂昌院</t>
  </si>
  <si>
    <t>初代芳澤あやめ</t>
  </si>
  <si>
    <t>富山ブラック</t>
  </si>
  <si>
    <t>秦河勝</t>
  </si>
  <si>
    <t>【天下統一】徳川家康</t>
  </si>
  <si>
    <t>大阪城</t>
  </si>
  <si>
    <t>16,16,15,14,12</t>
    <phoneticPr fontId="3"/>
  </si>
  <si>
    <t>22,17</t>
    <phoneticPr fontId="3"/>
  </si>
  <si>
    <t>寺田寅彦</t>
  </si>
  <si>
    <t>たなかしょうぞう</t>
    <phoneticPr fontId="3"/>
  </si>
  <si>
    <t>魂ゆさぶりし気迫</t>
    <phoneticPr fontId="3"/>
  </si>
  <si>
    <t>あじさいくしなだひめ</t>
    <phoneticPr fontId="3"/>
  </si>
  <si>
    <t>てんま</t>
    <phoneticPr fontId="3"/>
  </si>
  <si>
    <t>二代目市川團十郎</t>
    <phoneticPr fontId="3"/>
  </si>
  <si>
    <t>にだいめいちかわだんじゅうろう</t>
    <phoneticPr fontId="3"/>
  </si>
  <si>
    <t>舞台で魅せる、不動の申し子</t>
    <phoneticPr fontId="3"/>
  </si>
  <si>
    <t>【アンドロイド】風魔小太郎</t>
  </si>
  <si>
    <t>創世記のカイン</t>
  </si>
  <si>
    <t>【隠遁】木の葉天狗</t>
  </si>
  <si>
    <t>忍びが惚れる忍術師</t>
    <phoneticPr fontId="3"/>
  </si>
  <si>
    <t>いんとんこのはてんぐ</t>
    <phoneticPr fontId="3"/>
  </si>
  <si>
    <t>視線を奪う首飾り</t>
    <phoneticPr fontId="3"/>
  </si>
  <si>
    <t>タイプ偉人・妖怪・伝承の攻40％UP　/　タイプ【名物】の攻12％UP</t>
  </si>
  <si>
    <t>【温泉パニック】コウテイペンギンちゃん</t>
  </si>
  <si>
    <t>東尋坊</t>
  </si>
  <si>
    <t>【雪の祭典】ボディコンちゃん</t>
  </si>
  <si>
    <t>【乗馬】山川登美子</t>
  </si>
  <si>
    <t>風に乗せて歌う恋</t>
    <phoneticPr fontId="3"/>
  </si>
  <si>
    <t>【キューピッド】於大の方</t>
  </si>
  <si>
    <t>【川あそび】ミヅハノメ</t>
  </si>
  <si>
    <t>中部</t>
  </si>
  <si>
    <t>かわあそびみづはのめ</t>
  </si>
  <si>
    <t>激流を制する水の神</t>
  </si>
  <si>
    <t>タイプ偉人・妖怪・名物の防25％UP　/　タイプ神秘・知性派・飲食の攻50％DOWN</t>
  </si>
  <si>
    <t>びきにがーるやしゃりゅうじん</t>
    <phoneticPr fontId="3"/>
  </si>
  <si>
    <t>幻想夜の龍神姫</t>
    <phoneticPr fontId="3"/>
  </si>
  <si>
    <t>【室内プール】望月千代女</t>
  </si>
  <si>
    <t>しつないぷーるもちづきちよめ</t>
    <phoneticPr fontId="3"/>
  </si>
  <si>
    <t>プールサイドくノ一</t>
    <phoneticPr fontId="3"/>
  </si>
  <si>
    <t>野中千代子</t>
  </si>
  <si>
    <t>のなかちよこ</t>
    <phoneticPr fontId="3"/>
  </si>
  <si>
    <t>険き道の氷点観測</t>
    <phoneticPr fontId="3"/>
  </si>
  <si>
    <t>東大七博士</t>
    <phoneticPr fontId="3"/>
  </si>
  <si>
    <t>【夏祭り】幾松</t>
  </si>
  <si>
    <t>【迎春】幾松</t>
    <phoneticPr fontId="3"/>
  </si>
  <si>
    <t>うぃんたーすぽーつひしだしゅんそう</t>
  </si>
  <si>
    <t>天才画家の大ジャンプ</t>
  </si>
  <si>
    <t>タイプ【飲食】の攻85％UP　/　タイプ神秘・知性派の攻25％UP</t>
  </si>
  <si>
    <t>【ギリシア神話】藤原時姫</t>
  </si>
  <si>
    <t>振るう剣先に光る守護の心</t>
    <phoneticPr fontId="3"/>
  </si>
  <si>
    <t>御酒観音</t>
  </si>
  <si>
    <t>幸せ分けるほろ酔い観音</t>
    <phoneticPr fontId="3"/>
  </si>
  <si>
    <t>わらしべ長者</t>
  </si>
  <si>
    <t>【妖精】一目連</t>
  </si>
  <si>
    <t>ようせいいちもくれん</t>
  </si>
  <si>
    <t>森の泉に舞う神風</t>
  </si>
  <si>
    <t>タイプ【神秘】の防100％DOWN　/　タイプ知性派・飲食・伝承の防30％DOWN</t>
  </si>
  <si>
    <t>近畿</t>
  </si>
  <si>
    <t>きょうまい</t>
  </si>
  <si>
    <t>男子禁制春陽の舞</t>
  </si>
  <si>
    <t>天性の商才と熱意</t>
    <phoneticPr fontId="3"/>
  </si>
  <si>
    <t>灘の酒</t>
  </si>
  <si>
    <t>なだのさけ</t>
    <phoneticPr fontId="3"/>
  </si>
  <si>
    <t>江戸っ子愛する灘の酒</t>
    <phoneticPr fontId="3"/>
  </si>
  <si>
    <t>金剛力士像</t>
  </si>
  <si>
    <t>こんごうりきしぞう</t>
    <phoneticPr fontId="3"/>
  </si>
  <si>
    <t>犯罪王パーカー・バロウ</t>
  </si>
  <si>
    <t>北信愛</t>
    <phoneticPr fontId="3"/>
  </si>
  <si>
    <t>【4周年】つらら女</t>
    <phoneticPr fontId="3"/>
  </si>
  <si>
    <t>【本命チョコ】伊達政宗</t>
    <phoneticPr fontId="3"/>
  </si>
  <si>
    <t>【銃器】藤原清衡</t>
    <phoneticPr fontId="3"/>
  </si>
  <si>
    <t>【浴衣祭】園部秀雄</t>
    <phoneticPr fontId="3"/>
  </si>
  <si>
    <t>ちゃんちゃん焼き</t>
    <phoneticPr fontId="3"/>
  </si>
  <si>
    <t>【ハロウィン】辛口日本酒ちゃん</t>
    <phoneticPr fontId="3"/>
  </si>
  <si>
    <t>三ツ石神</t>
    <phoneticPr fontId="3"/>
  </si>
  <si>
    <t>【運動会】高村智恵子</t>
    <phoneticPr fontId="3"/>
  </si>
  <si>
    <t>氷穴のニクスとパトロール</t>
    <phoneticPr fontId="3"/>
  </si>
  <si>
    <t>【職業体験】赤井輝子</t>
    <phoneticPr fontId="3"/>
  </si>
  <si>
    <t>【迎春】由良妙印尼</t>
    <phoneticPr fontId="3"/>
  </si>
  <si>
    <t>【大航海時代】南総里見八犬伝</t>
    <phoneticPr fontId="3"/>
  </si>
  <si>
    <t>【レースクイーン】玉藻前</t>
    <phoneticPr fontId="3"/>
  </si>
  <si>
    <t>【果樹園】古椿の霊</t>
    <phoneticPr fontId="3"/>
  </si>
  <si>
    <t>【茶屋むすめ】神田祭</t>
    <phoneticPr fontId="3"/>
  </si>
  <si>
    <t>【ひなまつり】ラッコ</t>
    <phoneticPr fontId="3"/>
  </si>
  <si>
    <t>【ビキニガール】天英院</t>
    <phoneticPr fontId="3"/>
  </si>
  <si>
    <t>【かるた】天英院</t>
    <phoneticPr fontId="3"/>
  </si>
  <si>
    <t>【湯けむり】神田明神</t>
    <phoneticPr fontId="3"/>
  </si>
  <si>
    <t>【妖怪大戦】クシナダヒメ</t>
    <phoneticPr fontId="3"/>
  </si>
  <si>
    <t>【海開き】巴御前</t>
    <phoneticPr fontId="3"/>
  </si>
  <si>
    <t>猫又稲荷</t>
    <phoneticPr fontId="3"/>
  </si>
  <si>
    <t>【果樹園】黒姫</t>
    <phoneticPr fontId="3"/>
  </si>
  <si>
    <t>【夏遊園地】京極マリア</t>
    <phoneticPr fontId="3"/>
  </si>
  <si>
    <t>【ハロウィン】金平糖</t>
    <phoneticPr fontId="3"/>
  </si>
  <si>
    <t>【節分】於大の方</t>
    <phoneticPr fontId="3"/>
  </si>
  <si>
    <t>【お泊り女子会】たい焼きちゃん</t>
    <phoneticPr fontId="3"/>
  </si>
  <si>
    <t>金井延</t>
    <phoneticPr fontId="3"/>
  </si>
  <si>
    <t>【ウィンタースポーツ】菱田春草</t>
    <phoneticPr fontId="3"/>
  </si>
  <si>
    <t>京舞</t>
    <phoneticPr fontId="3"/>
  </si>
  <si>
    <t>【鯉のぼり】光明皇后</t>
    <phoneticPr fontId="3"/>
  </si>
  <si>
    <t>御木本幸吉</t>
    <phoneticPr fontId="3"/>
  </si>
  <si>
    <t>【節分パニック】三村鶴</t>
    <phoneticPr fontId="3"/>
  </si>
  <si>
    <t>香川之景</t>
    <phoneticPr fontId="3"/>
  </si>
  <si>
    <t>香西佳清</t>
    <phoneticPr fontId="3"/>
  </si>
  <si>
    <t>安芸国虎</t>
    <phoneticPr fontId="3"/>
  </si>
  <si>
    <t>浦上政宗</t>
    <phoneticPr fontId="3"/>
  </si>
  <si>
    <t>【果樹園】三村鶴</t>
    <phoneticPr fontId="3"/>
  </si>
  <si>
    <t>【魔術師】鶴の恩返し</t>
    <phoneticPr fontId="3"/>
  </si>
  <si>
    <t>【お弁当】猫狸</t>
    <phoneticPr fontId="3"/>
  </si>
  <si>
    <t>魍魎</t>
    <phoneticPr fontId="3"/>
  </si>
  <si>
    <t>【温泉宿】魍魎</t>
    <phoneticPr fontId="3"/>
  </si>
  <si>
    <t>【スノーグラビア】シルバーアクセちゃん</t>
    <phoneticPr fontId="3"/>
  </si>
  <si>
    <t>丸亀城</t>
    <phoneticPr fontId="3"/>
  </si>
  <si>
    <t>【入学式】シルバーアクセちゃん</t>
    <phoneticPr fontId="3"/>
  </si>
  <si>
    <t>【雪の唄】阿波踊り</t>
    <phoneticPr fontId="3"/>
  </si>
  <si>
    <t>【くノ一】熊野筆ちゃん</t>
    <phoneticPr fontId="3"/>
  </si>
  <si>
    <t>【POPクリスマス】出雲阿国</t>
    <phoneticPr fontId="3"/>
  </si>
  <si>
    <t>頼春水</t>
    <phoneticPr fontId="3"/>
  </si>
  <si>
    <t>【X’masパーティ】金子みすず</t>
    <phoneticPr fontId="3"/>
  </si>
  <si>
    <t>【月見酒】出雲阿国</t>
    <phoneticPr fontId="3"/>
  </si>
  <si>
    <t>【父の日】明石レジーナ</t>
    <phoneticPr fontId="3"/>
  </si>
  <si>
    <t>デミカツ丼</t>
    <phoneticPr fontId="3"/>
  </si>
  <si>
    <t>【新緑の季節】メロンパン</t>
    <phoneticPr fontId="3"/>
  </si>
  <si>
    <t>【セレブ】クシヤタマノカミ</t>
    <phoneticPr fontId="3"/>
  </si>
  <si>
    <t>【執事喫茶】吉備穴済神</t>
    <phoneticPr fontId="3"/>
  </si>
  <si>
    <t>アメノオシホミミ</t>
    <phoneticPr fontId="3"/>
  </si>
  <si>
    <t>【名工】小泉八雲</t>
    <phoneticPr fontId="3"/>
  </si>
  <si>
    <t>【酔心地】出雲阿国</t>
    <phoneticPr fontId="3"/>
  </si>
  <si>
    <t>【アンドロイド】大友宗麟</t>
    <phoneticPr fontId="3"/>
  </si>
  <si>
    <t>宗義智</t>
  </si>
  <si>
    <t>その想いは海を越えて</t>
    <phoneticPr fontId="3"/>
  </si>
  <si>
    <t>タイプ伝承・武人・姫の防15％UP</t>
    <phoneticPr fontId="3"/>
  </si>
  <si>
    <t>【雨の花嫁】妙林尼</t>
  </si>
  <si>
    <t>タイプ姫・伝承の防25%UP　/　タイプ【武人】の防10%UP</t>
    <rPh sb="3" eb="4">
      <t>ヒメ</t>
    </rPh>
    <rPh sb="5" eb="7">
      <t>デンショウ</t>
    </rPh>
    <rPh sb="8" eb="9">
      <t>ボウ</t>
    </rPh>
    <rPh sb="21" eb="23">
      <t>ブジン</t>
    </rPh>
    <rPh sb="25" eb="26">
      <t>ボウ</t>
    </rPh>
    <phoneticPr fontId="3"/>
  </si>
  <si>
    <t>【ハロウィン】立花宗茂</t>
  </si>
  <si>
    <t>闇に捧げる深紅の葡萄酒</t>
    <phoneticPr fontId="3"/>
  </si>
  <si>
    <t>新納忠元</t>
  </si>
  <si>
    <t>糸姫</t>
  </si>
  <si>
    <t>【電車ガール】左京ヶ橋の蛇</t>
    <phoneticPr fontId="3"/>
  </si>
  <si>
    <t>【雪の王国】鍋島の化け猫</t>
  </si>
  <si>
    <t>九州・沖縄</t>
  </si>
  <si>
    <t>ゆきのおうこくなべしまのばけねこ</t>
  </si>
  <si>
    <t>怨恨の積もりし冷徹な氷城</t>
  </si>
  <si>
    <t>タイプ武人・伝承の攻60％DOWN　/　タイプ偉人・妖怪・名物の防20％UP</t>
  </si>
  <si>
    <t>真暗葬礼</t>
  </si>
  <si>
    <t>まっくらぞうれ</t>
  </si>
  <si>
    <t>暗闇の奇妙な葬礼</t>
  </si>
  <si>
    <t>タイプ偉人・妖怪・名物の防40％UP　/　タイプ伝承・武人・姫の攻10％DOWN</t>
  </si>
  <si>
    <t>【梅雨ロマン】タツクチナワ</t>
    <phoneticPr fontId="3"/>
  </si>
  <si>
    <t>【ハイカラ紅葉】ビードロ細工ちゃん</t>
  </si>
  <si>
    <t>ゆうえんちはざーどじんぐうこうごう</t>
    <phoneticPr fontId="3"/>
  </si>
  <si>
    <t>子供の夢守る戦う聖母</t>
    <phoneticPr fontId="3"/>
  </si>
  <si>
    <t>【獣水着】高千穂峰</t>
    <phoneticPr fontId="3"/>
  </si>
  <si>
    <t>天上に輝く水着</t>
    <phoneticPr fontId="3"/>
  </si>
  <si>
    <t>【節分】ハニヤス</t>
    <phoneticPr fontId="3"/>
  </si>
  <si>
    <t>天野康景</t>
  </si>
  <si>
    <t>あまのやすかげ</t>
    <phoneticPr fontId="3"/>
  </si>
  <si>
    <t>徳川への忠義</t>
    <phoneticPr fontId="3"/>
  </si>
  <si>
    <t>北条景広</t>
    <phoneticPr fontId="3"/>
  </si>
  <si>
    <t>魔弾のティルソルシエール</t>
    <phoneticPr fontId="3"/>
  </si>
  <si>
    <t>あんたら覚悟しいや</t>
  </si>
  <si>
    <t>タイプ【武人】の攻50％UP　/　タイプ姫・伝承の攻25％UP</t>
  </si>
  <si>
    <t>13?</t>
    <phoneticPr fontId="3"/>
  </si>
  <si>
    <t>揚巻太夫</t>
  </si>
  <si>
    <t>宝刀巡りし傾城太夫</t>
  </si>
  <si>
    <t>あげまきだゆう</t>
  </si>
  <si>
    <t>【梅花魁】袖萩</t>
  </si>
  <si>
    <t>うめおいらんそではぎ</t>
  </si>
  <si>
    <t>梅を巡る霊泉への旅</t>
  </si>
  <si>
    <t>タイプ【武人】の攻55％UP　/　タイプ姫・伝承の攻30％UP</t>
  </si>
  <si>
    <t>赤ずきん</t>
    <phoneticPr fontId="3"/>
  </si>
  <si>
    <t>あなたは、だあれ？</t>
    <phoneticPr fontId="3"/>
  </si>
  <si>
    <t>騎竜姫エイレン</t>
    <phoneticPr fontId="3"/>
  </si>
  <si>
    <t>【プール】茶々</t>
    <phoneticPr fontId="3"/>
  </si>
  <si>
    <t>リトー</t>
    <phoneticPr fontId="3"/>
  </si>
  <si>
    <t>【ハロウィン】猫神</t>
  </si>
  <si>
    <t>はろうぃんねこがみ</t>
  </si>
  <si>
    <t>気まぐれなハロウィン収穫祭</t>
  </si>
  <si>
    <t>タイプ【名物】の攻30％UP　/　タイプ【飲食】の防25％DOWN</t>
  </si>
  <si>
    <t>【幻獣】古椿の霊</t>
    <phoneticPr fontId="3"/>
  </si>
  <si>
    <t>大地に堕つ裁きの毒華</t>
    <phoneticPr fontId="3"/>
  </si>
  <si>
    <t>おんがくさいしにがみ</t>
  </si>
  <si>
    <t>終わりない死へ誘う調べ</t>
  </si>
  <si>
    <t>タイプ【名物】の攻50％UP　/　タイプ妖怪・偉人・神秘・知性派の攻30％UP</t>
  </si>
  <si>
    <t>ちょこたまものまえ</t>
  </si>
  <si>
    <t>妖狐特製恋の媚薬</t>
  </si>
  <si>
    <t>タイプ偉人・名物の防45％UP　/　タイプ【妖怪】の防30％UP</t>
  </si>
  <si>
    <t>処分候補</t>
    <rPh sb="0" eb="2">
      <t>ショブン</t>
    </rPh>
    <rPh sb="2" eb="4">
      <t>コウホ</t>
    </rPh>
    <phoneticPr fontId="3"/>
  </si>
  <si>
    <t>じゅそめでぃあ</t>
    <phoneticPr fontId="3"/>
  </si>
  <si>
    <t>【スク水】花子さん</t>
    <phoneticPr fontId="3"/>
  </si>
  <si>
    <t>処分候補・優先度低</t>
    <rPh sb="0" eb="2">
      <t>ショブン</t>
    </rPh>
    <rPh sb="2" eb="4">
      <t>コウホ</t>
    </rPh>
    <rPh sb="5" eb="8">
      <t>ユウセンド</t>
    </rPh>
    <rPh sb="8" eb="9">
      <t>テイ</t>
    </rPh>
    <phoneticPr fontId="3"/>
  </si>
  <si>
    <t>華厳滝</t>
    <phoneticPr fontId="3"/>
  </si>
  <si>
    <t>【インド神話】クリオネちゃん</t>
  </si>
  <si>
    <t>聖なる川を流るる女神</t>
  </si>
  <si>
    <t>いんどしんわくりおねちゃん</t>
  </si>
  <si>
    <t>九谷焼</t>
  </si>
  <si>
    <t>伝統が生んだ色彩美</t>
    <phoneticPr fontId="3"/>
  </si>
  <si>
    <t>マヨイガ</t>
  </si>
  <si>
    <t>富もたらす家の怪異</t>
    <phoneticPr fontId="3"/>
  </si>
  <si>
    <t>まよいが</t>
    <phoneticPr fontId="3"/>
  </si>
  <si>
    <t>原宿ロリータちゃん</t>
    <phoneticPr fontId="3"/>
  </si>
  <si>
    <t>五色沼</t>
    <phoneticPr fontId="3"/>
  </si>
  <si>
    <t>【白雪姫】小野小町</t>
  </si>
  <si>
    <t>しらゆきひめおののこまち</t>
  </si>
  <si>
    <t>林檎に咲きし白雪の花</t>
  </si>
  <si>
    <t>タイプ妖怪・名物の攻40％UP　/　タイプ【偉人】の攻35％UP</t>
  </si>
  <si>
    <t>スーザフォニア</t>
  </si>
  <si>
    <t>みずようかんちゃん</t>
  </si>
  <si>
    <t>あんこう鍋ちゃん</t>
    <phoneticPr fontId="3"/>
  </si>
  <si>
    <t>フルーツトマトちゃん</t>
    <phoneticPr fontId="3"/>
  </si>
  <si>
    <t>シトゥンペカムイ</t>
  </si>
  <si>
    <t>【ぴよぴよ】獏</t>
  </si>
  <si>
    <t>卵から孵る癒しの夢</t>
    <rPh sb="0" eb="1">
      <t>タマゴ</t>
    </rPh>
    <rPh sb="3" eb="4">
      <t>カエ</t>
    </rPh>
    <rPh sb="5" eb="6">
      <t>イヤ</t>
    </rPh>
    <rPh sb="8" eb="9">
      <t>ユメ</t>
    </rPh>
    <phoneticPr fontId="3"/>
  </si>
  <si>
    <t>タイプ神秘・知性派・飲食の防30%UP　/　タイプ伝承・武人・姫の攻50%DOWN</t>
    <rPh sb="3" eb="5">
      <t>シンピ</t>
    </rPh>
    <rPh sb="6" eb="8">
      <t>チセイ</t>
    </rPh>
    <rPh sb="8" eb="9">
      <t>ハ</t>
    </rPh>
    <rPh sb="10" eb="12">
      <t>インショク</t>
    </rPh>
    <rPh sb="13" eb="14">
      <t>ボウ</t>
    </rPh>
    <rPh sb="25" eb="27">
      <t>デンショウ</t>
    </rPh>
    <rPh sb="28" eb="30">
      <t>ブジン</t>
    </rPh>
    <rPh sb="31" eb="32">
      <t>ヒメ</t>
    </rPh>
    <rPh sb="33" eb="34">
      <t>コウ</t>
    </rPh>
    <phoneticPr fontId="3"/>
  </si>
  <si>
    <t>神々しく降るにわか雨</t>
  </si>
  <si>
    <t>タイプ飲食・知性派・武人の防25％UP　/　タイプ伝承・武人・姫の攻50％DOWN</t>
  </si>
  <si>
    <t>【エンジェル】村雨丸</t>
    <phoneticPr fontId="3"/>
  </si>
  <si>
    <t>えんじぇるむらさめまる</t>
  </si>
  <si>
    <t>縁切榎</t>
    <phoneticPr fontId="3"/>
  </si>
  <si>
    <t>北辰妙見菩薩</t>
    <phoneticPr fontId="3"/>
  </si>
  <si>
    <t>ハリ・ハラ</t>
    <phoneticPr fontId="3"/>
  </si>
  <si>
    <t>幸田延</t>
  </si>
  <si>
    <t>日本音楽界の女王</t>
    <rPh sb="0" eb="2">
      <t>ニホン</t>
    </rPh>
    <rPh sb="2" eb="4">
      <t>オンガク</t>
    </rPh>
    <rPh sb="4" eb="5">
      <t>カイ</t>
    </rPh>
    <rPh sb="6" eb="8">
      <t>ジョウオウ</t>
    </rPh>
    <phoneticPr fontId="3"/>
  </si>
  <si>
    <t>タイプ神秘・知性派・飲食の攻30%UP　/　タイプ知性派・飲食の防10%DOWN</t>
    <rPh sb="3" eb="5">
      <t>シンピ</t>
    </rPh>
    <rPh sb="6" eb="8">
      <t>チセイ</t>
    </rPh>
    <rPh sb="8" eb="9">
      <t>ハ</t>
    </rPh>
    <rPh sb="10" eb="12">
      <t>インショク</t>
    </rPh>
    <rPh sb="13" eb="14">
      <t>コウ</t>
    </rPh>
    <rPh sb="25" eb="27">
      <t>チセイ</t>
    </rPh>
    <rPh sb="27" eb="28">
      <t>ハ</t>
    </rPh>
    <rPh sb="29" eb="31">
      <t>インショク</t>
    </rPh>
    <rPh sb="32" eb="33">
      <t>ボウ</t>
    </rPh>
    <phoneticPr fontId="3"/>
  </si>
  <si>
    <t>由井正雪</t>
  </si>
  <si>
    <t>文治政策への先駆け</t>
    <phoneticPr fontId="3"/>
  </si>
  <si>
    <t>ゆいしょうせつ</t>
    <phoneticPr fontId="3"/>
  </si>
  <si>
    <t>占星術師</t>
    <phoneticPr fontId="3"/>
  </si>
  <si>
    <t>【収穫祭】狼少女</t>
    <phoneticPr fontId="3"/>
  </si>
  <si>
    <t>一石二鳥の鬼退治</t>
    <rPh sb="0" eb="4">
      <t>イッセキニチョウ</t>
    </rPh>
    <rPh sb="5" eb="6">
      <t>オニ</t>
    </rPh>
    <rPh sb="6" eb="8">
      <t>タイジ</t>
    </rPh>
    <phoneticPr fontId="3"/>
  </si>
  <si>
    <t>タイプ武人・姫・名物の攻40%UP　/　タイプ【伝承】の攻12%UP</t>
    <rPh sb="3" eb="5">
      <t>ブジン</t>
    </rPh>
    <rPh sb="6" eb="7">
      <t>ヒメ</t>
    </rPh>
    <rPh sb="8" eb="10">
      <t>メイブツ</t>
    </rPh>
    <rPh sb="11" eb="12">
      <t>コウ</t>
    </rPh>
    <rPh sb="24" eb="26">
      <t>デンショウ</t>
    </rPh>
    <rPh sb="28" eb="29">
      <t>コウ</t>
    </rPh>
    <phoneticPr fontId="3"/>
  </si>
  <si>
    <t>【スパリゾート】三村鶴</t>
    <phoneticPr fontId="3"/>
  </si>
  <si>
    <t>天女姫</t>
    <phoneticPr fontId="3"/>
  </si>
  <si>
    <t>隠神刑部</t>
    <phoneticPr fontId="3"/>
  </si>
  <si>
    <t>【怪盗】キウイフルーツちゃん</t>
    <phoneticPr fontId="3"/>
  </si>
  <si>
    <t>【バーレスク】八上姫</t>
    <phoneticPr fontId="3"/>
  </si>
  <si>
    <t>16(古豪ガチャ)+10(LMG)+10(LMG)</t>
  </si>
  <si>
    <t>【バイク】織田信長</t>
    <phoneticPr fontId="3"/>
  </si>
  <si>
    <t>処分候補</t>
    <phoneticPr fontId="3"/>
  </si>
  <si>
    <t>西日本→全国</t>
    <phoneticPr fontId="3"/>
  </si>
  <si>
    <t>梶原入道冬庵</t>
  </si>
  <si>
    <t>藤原景清</t>
  </si>
  <si>
    <t>桃の剣姫</t>
    <phoneticPr fontId="3"/>
  </si>
  <si>
    <t>染殿后</t>
  </si>
  <si>
    <t>乃美大方</t>
  </si>
  <si>
    <t>武将の母</t>
    <phoneticPr fontId="3"/>
  </si>
  <si>
    <t>のみのおおかた</t>
    <phoneticPr fontId="3"/>
  </si>
  <si>
    <t>祝祭の王女ホリデー</t>
    <phoneticPr fontId="3"/>
  </si>
  <si>
    <t>リカヤ王女</t>
    <phoneticPr fontId="3"/>
  </si>
  <si>
    <t>手繰る傀儡の操り糸</t>
    <phoneticPr fontId="3"/>
  </si>
  <si>
    <t>筑紫舞</t>
    <phoneticPr fontId="3"/>
  </si>
  <si>
    <t>【魔女王】卑弥呼</t>
    <rPh sb="1" eb="2">
      <t>マ</t>
    </rPh>
    <rPh sb="2" eb="4">
      <t>ジョオウ</t>
    </rPh>
    <rPh sb="5" eb="8">
      <t>ヒミコ</t>
    </rPh>
    <phoneticPr fontId="3"/>
  </si>
  <si>
    <t>まじょおうひみこ</t>
    <phoneticPr fontId="3"/>
  </si>
  <si>
    <t>【剣闘】桂小五郎</t>
  </si>
  <si>
    <t>けんとうかつらこごろう</t>
  </si>
  <si>
    <t>真剣との語らい</t>
  </si>
  <si>
    <t>タイプ妖怪・名物の防30%UP　/　タイプ【妖怪】の攻30%DOWN</t>
  </si>
  <si>
    <t>龍の寵児</t>
    <phoneticPr fontId="3"/>
  </si>
  <si>
    <t>傀儡師</t>
    <phoneticPr fontId="3"/>
  </si>
  <si>
    <t>ベルベット</t>
    <phoneticPr fontId="3"/>
  </si>
  <si>
    <t>藤原鎌足</t>
    <phoneticPr fontId="3"/>
  </si>
  <si>
    <t>カーニバルクイーン</t>
    <phoneticPr fontId="3"/>
  </si>
  <si>
    <t>【MONSTER】明石レジーナ</t>
    <phoneticPr fontId="3"/>
  </si>
  <si>
    <t>鍋島榮子</t>
    <phoneticPr fontId="3"/>
  </si>
  <si>
    <t>瀬戸内レモン</t>
    <phoneticPr fontId="3"/>
  </si>
  <si>
    <t>【エクソシスト】あまおう</t>
    <phoneticPr fontId="3"/>
  </si>
  <si>
    <t>スティールクイーン</t>
    <phoneticPr fontId="3"/>
  </si>
  <si>
    <t>恵比寿</t>
    <phoneticPr fontId="3"/>
  </si>
  <si>
    <t>弥勒菩薩</t>
    <phoneticPr fontId="3"/>
  </si>
  <si>
    <t>淡島神</t>
    <phoneticPr fontId="3"/>
  </si>
  <si>
    <t>丹生比売大神</t>
    <phoneticPr fontId="3"/>
  </si>
  <si>
    <t>狐狗狸狐</t>
    <phoneticPr fontId="3"/>
  </si>
  <si>
    <t>反魂香</t>
    <phoneticPr fontId="3"/>
  </si>
  <si>
    <t>クロノス</t>
    <phoneticPr fontId="3"/>
  </si>
  <si>
    <t>井原西鶴</t>
    <phoneticPr fontId="3"/>
  </si>
  <si>
    <t>モルガンお雪</t>
    <phoneticPr fontId="3"/>
  </si>
  <si>
    <t>浜松歌国</t>
    <phoneticPr fontId="3"/>
  </si>
  <si>
    <t>斉藤伝鬼房</t>
    <phoneticPr fontId="3"/>
  </si>
  <si>
    <t>【ゼウス】天武天皇</t>
    <phoneticPr fontId="3"/>
  </si>
  <si>
    <t>14+11+(13+12)</t>
    <phoneticPr fontId="3"/>
  </si>
  <si>
    <t>【天使】常山御前</t>
    <phoneticPr fontId="3"/>
  </si>
  <si>
    <t>17+14+(16+15),12</t>
    <phoneticPr fontId="3"/>
  </si>
  <si>
    <t>【聖夜泥棒】メリー</t>
    <phoneticPr fontId="3"/>
  </si>
  <si>
    <t>島津弥姫</t>
    <phoneticPr fontId="3"/>
  </si>
  <si>
    <t>【チョコ】玉藻前</t>
    <phoneticPr fontId="3"/>
  </si>
  <si>
    <t>19+15+(18+16),11,13,13,14</t>
    <phoneticPr fontId="3"/>
  </si>
  <si>
    <t>【バニー】淀殿</t>
    <phoneticPr fontId="3"/>
  </si>
  <si>
    <t>【音楽祭】死神</t>
    <phoneticPr fontId="3"/>
  </si>
  <si>
    <t>三千院</t>
    <phoneticPr fontId="3"/>
  </si>
  <si>
    <t>【海賊】勝海舟</t>
    <phoneticPr fontId="3"/>
  </si>
  <si>
    <t>16+13+(16+14)</t>
    <phoneticPr fontId="3"/>
  </si>
  <si>
    <t>【おかし】小野小町</t>
    <phoneticPr fontId="3"/>
  </si>
  <si>
    <t>【サンタ王国】レディ・サンタ</t>
    <phoneticPr fontId="3"/>
  </si>
  <si>
    <t>【MONSTER】クジラちゃん</t>
    <phoneticPr fontId="3"/>
  </si>
  <si>
    <t>ワクムスビ</t>
    <phoneticPr fontId="3"/>
  </si>
  <si>
    <t>シタテルヒメ</t>
    <phoneticPr fontId="3"/>
  </si>
  <si>
    <t>ニニギノミコト</t>
    <phoneticPr fontId="3"/>
  </si>
  <si>
    <t>【クリスマスイブ】サンタクロース</t>
    <phoneticPr fontId="3"/>
  </si>
  <si>
    <t>【SHINOBI】猿飛佐助</t>
    <phoneticPr fontId="3"/>
  </si>
  <si>
    <t>14(↑進化後16(出自失念))+10+12</t>
    <rPh sb="4" eb="6">
      <t>シンカ</t>
    </rPh>
    <rPh sb="6" eb="7">
      <t>ゴ</t>
    </rPh>
    <rPh sb="10" eb="12">
      <t>シュツジ</t>
    </rPh>
    <rPh sb="12" eb="14">
      <t>シツネン</t>
    </rPh>
    <phoneticPr fontId="3"/>
  </si>
  <si>
    <t>【イルミネーション】和泉式部</t>
    <phoneticPr fontId="3"/>
  </si>
  <si>
    <t>ハスコック</t>
    <phoneticPr fontId="3"/>
  </si>
  <si>
    <t>服部半蔵</t>
    <rPh sb="0" eb="2">
      <t>ハットリ</t>
    </rPh>
    <rPh sb="2" eb="4">
      <t>ハンゾウ</t>
    </rPh>
    <phoneticPr fontId="3"/>
  </si>
  <si>
    <t>はっとりはんぞう</t>
    <phoneticPr fontId="3"/>
  </si>
  <si>
    <t>初代服部半蔵保長</t>
    <rPh sb="0" eb="2">
      <t>ショダイ</t>
    </rPh>
    <rPh sb="2" eb="4">
      <t>ハットリ</t>
    </rPh>
    <rPh sb="4" eb="6">
      <t>ハンゾウ</t>
    </rPh>
    <rPh sb="6" eb="7">
      <t>タモツ</t>
    </rPh>
    <rPh sb="7" eb="8">
      <t>ナガ</t>
    </rPh>
    <phoneticPr fontId="3"/>
  </si>
  <si>
    <t>タイプ【神秘】の防25%UP</t>
    <rPh sb="4" eb="6">
      <t>シンピ</t>
    </rPh>
    <rPh sb="8" eb="9">
      <t>ボウ</t>
    </rPh>
    <phoneticPr fontId="3"/>
  </si>
  <si>
    <t>出自不明な過去の隊士or個人的に記録していなかった時期のイベント隊士</t>
    <rPh sb="0" eb="2">
      <t>シュツジ</t>
    </rPh>
    <rPh sb="2" eb="4">
      <t>フメイ</t>
    </rPh>
    <rPh sb="5" eb="7">
      <t>カコ</t>
    </rPh>
    <rPh sb="8" eb="10">
      <t>タイシ</t>
    </rPh>
    <phoneticPr fontId="3"/>
  </si>
  <si>
    <t>or個人的に処分対象な隊士or個人的に所持していない隊士のステータス覚書</t>
    <phoneticPr fontId="3"/>
  </si>
  <si>
    <t>【春分】アストレア</t>
    <rPh sb="1" eb="3">
      <t>シュンブン</t>
    </rPh>
    <phoneticPr fontId="3"/>
  </si>
  <si>
    <t>【春分】アグライアー</t>
    <rPh sb="1" eb="3">
      <t>シュンブン</t>
    </rPh>
    <phoneticPr fontId="3"/>
  </si>
  <si>
    <t>【春分】ジャターユ</t>
    <rPh sb="1" eb="3">
      <t>シュンブン</t>
    </rPh>
    <phoneticPr fontId="3"/>
  </si>
  <si>
    <t>【春分】クロリアンヌ</t>
    <rPh sb="1" eb="3">
      <t>シュンブン</t>
    </rPh>
    <phoneticPr fontId="3"/>
  </si>
  <si>
    <t>【春分】ヴィスナー</t>
    <rPh sb="1" eb="3">
      <t>シュンブン</t>
    </rPh>
    <phoneticPr fontId="3"/>
  </si>
  <si>
    <t>【春分】ラドゥンマ</t>
    <rPh sb="1" eb="3">
      <t>シュンブン</t>
    </rPh>
    <phoneticPr fontId="3"/>
  </si>
  <si>
    <t>春謳う正義の女神</t>
    <rPh sb="0" eb="1">
      <t>ハル</t>
    </rPh>
    <rPh sb="1" eb="2">
      <t>ウタ</t>
    </rPh>
    <rPh sb="3" eb="5">
      <t>セイギ</t>
    </rPh>
    <rPh sb="6" eb="8">
      <t>メガミ</t>
    </rPh>
    <phoneticPr fontId="3"/>
  </si>
  <si>
    <t>タイプ伝承・武人・姫の防25%UP　/　所属が【北海道・東北】とそれに属する県、および【全国】【東日本】の防30%UP</t>
    <rPh sb="3" eb="5">
      <t>デンショウ</t>
    </rPh>
    <rPh sb="6" eb="8">
      <t>ブジン</t>
    </rPh>
    <rPh sb="9" eb="10">
      <t>ヒメ</t>
    </rPh>
    <rPh sb="11" eb="12">
      <t>ボウ</t>
    </rPh>
    <rPh sb="20" eb="22">
      <t>ショゾク</t>
    </rPh>
    <rPh sb="24" eb="27">
      <t>ホッカイドウ</t>
    </rPh>
    <rPh sb="28" eb="30">
      <t>トウホク</t>
    </rPh>
    <rPh sb="35" eb="36">
      <t>ゾク</t>
    </rPh>
    <rPh sb="38" eb="39">
      <t>ケン</t>
    </rPh>
    <rPh sb="44" eb="46">
      <t>ゼンコク</t>
    </rPh>
    <rPh sb="48" eb="49">
      <t>ヒガシ</t>
    </rPh>
    <rPh sb="49" eb="51">
      <t>ニホン</t>
    </rPh>
    <rPh sb="53" eb="54">
      <t>ボウ</t>
    </rPh>
    <phoneticPr fontId="3"/>
  </si>
  <si>
    <t>春照らす優美の輝き</t>
    <rPh sb="0" eb="1">
      <t>ハル</t>
    </rPh>
    <rPh sb="1" eb="2">
      <t>テ</t>
    </rPh>
    <rPh sb="4" eb="6">
      <t>ユウビ</t>
    </rPh>
    <rPh sb="7" eb="8">
      <t>カガヤ</t>
    </rPh>
    <phoneticPr fontId="3"/>
  </si>
  <si>
    <t>タイプ神秘・知性派・飲食の防25%UP　/　所属が【関東】とそれに属する県、および【全国】【東日本】の防30%UP</t>
    <rPh sb="3" eb="5">
      <t>シンピ</t>
    </rPh>
    <rPh sb="6" eb="8">
      <t>チセイ</t>
    </rPh>
    <rPh sb="8" eb="9">
      <t>ハ</t>
    </rPh>
    <rPh sb="10" eb="12">
      <t>インショク</t>
    </rPh>
    <rPh sb="13" eb="14">
      <t>ボウ</t>
    </rPh>
    <rPh sb="22" eb="24">
      <t>ショゾク</t>
    </rPh>
    <rPh sb="26" eb="28">
      <t>カントウ</t>
    </rPh>
    <rPh sb="33" eb="34">
      <t>ゾク</t>
    </rPh>
    <rPh sb="36" eb="37">
      <t>ケン</t>
    </rPh>
    <rPh sb="42" eb="44">
      <t>ゼンコク</t>
    </rPh>
    <rPh sb="46" eb="47">
      <t>ヒガシ</t>
    </rPh>
    <rPh sb="47" eb="49">
      <t>ニホン</t>
    </rPh>
    <rPh sb="51" eb="52">
      <t>ボウ</t>
    </rPh>
    <phoneticPr fontId="3"/>
  </si>
  <si>
    <t>春翔る王者の翼</t>
    <rPh sb="0" eb="1">
      <t>ハル</t>
    </rPh>
    <rPh sb="1" eb="2">
      <t>カケ</t>
    </rPh>
    <rPh sb="3" eb="5">
      <t>オウジャ</t>
    </rPh>
    <rPh sb="6" eb="7">
      <t>ツバサ</t>
    </rPh>
    <phoneticPr fontId="3"/>
  </si>
  <si>
    <t>タイプ偉人・妖怪・名物の防25%UP　/　所属が【中部】とそれに属する県、および【全国】【東日本】の防30%UP</t>
    <rPh sb="3" eb="5">
      <t>イジン</t>
    </rPh>
    <rPh sb="6" eb="8">
      <t>ヨウカイ</t>
    </rPh>
    <rPh sb="9" eb="11">
      <t>メイブツ</t>
    </rPh>
    <rPh sb="12" eb="13">
      <t>ボウ</t>
    </rPh>
    <rPh sb="21" eb="23">
      <t>ショゾク</t>
    </rPh>
    <rPh sb="25" eb="27">
      <t>チュウブ</t>
    </rPh>
    <rPh sb="32" eb="33">
      <t>ゾク</t>
    </rPh>
    <rPh sb="35" eb="36">
      <t>ケン</t>
    </rPh>
    <rPh sb="41" eb="43">
      <t>ゼンコク</t>
    </rPh>
    <rPh sb="45" eb="46">
      <t>ヒガシ</t>
    </rPh>
    <rPh sb="46" eb="48">
      <t>ニホン</t>
    </rPh>
    <rPh sb="50" eb="51">
      <t>ボウ</t>
    </rPh>
    <phoneticPr fontId="3"/>
  </si>
  <si>
    <t>春彩る声援の踊り子</t>
    <rPh sb="0" eb="1">
      <t>ハル</t>
    </rPh>
    <rPh sb="1" eb="2">
      <t>イロド</t>
    </rPh>
    <rPh sb="3" eb="5">
      <t>セイエン</t>
    </rPh>
    <rPh sb="6" eb="7">
      <t>オド</t>
    </rPh>
    <rPh sb="8" eb="9">
      <t>コ</t>
    </rPh>
    <phoneticPr fontId="3"/>
  </si>
  <si>
    <t>タイプ伝承・武人・姫の防25%UP　/　所属が【近畿】とそれに属する県、および【全国】【西日本】の防30%UP</t>
    <rPh sb="3" eb="5">
      <t>デンショウ</t>
    </rPh>
    <rPh sb="6" eb="8">
      <t>ブジン</t>
    </rPh>
    <rPh sb="9" eb="10">
      <t>ヒメ</t>
    </rPh>
    <rPh sb="11" eb="12">
      <t>ボウ</t>
    </rPh>
    <rPh sb="20" eb="22">
      <t>ショゾク</t>
    </rPh>
    <rPh sb="24" eb="26">
      <t>キンキ</t>
    </rPh>
    <rPh sb="31" eb="32">
      <t>ゾク</t>
    </rPh>
    <rPh sb="34" eb="35">
      <t>ケン</t>
    </rPh>
    <rPh sb="40" eb="42">
      <t>ゼンコク</t>
    </rPh>
    <rPh sb="44" eb="45">
      <t>ニシ</t>
    </rPh>
    <rPh sb="45" eb="47">
      <t>ニホン</t>
    </rPh>
    <rPh sb="49" eb="50">
      <t>ボウ</t>
    </rPh>
    <phoneticPr fontId="3"/>
  </si>
  <si>
    <t>春誘う雪解けの精</t>
    <rPh sb="0" eb="1">
      <t>ハル</t>
    </rPh>
    <rPh sb="1" eb="2">
      <t>サソ</t>
    </rPh>
    <rPh sb="3" eb="5">
      <t>ユキド</t>
    </rPh>
    <rPh sb="7" eb="8">
      <t>セイ</t>
    </rPh>
    <phoneticPr fontId="3"/>
  </si>
  <si>
    <t>タイプ神秘・知性派・飲食の防25%UP　/　所属が【中国・四国】とそれに属する県、および【全国】【西日本】の防30%UP</t>
    <rPh sb="3" eb="5">
      <t>シンピ</t>
    </rPh>
    <rPh sb="6" eb="8">
      <t>チセイ</t>
    </rPh>
    <rPh sb="8" eb="9">
      <t>ハ</t>
    </rPh>
    <rPh sb="10" eb="12">
      <t>インショク</t>
    </rPh>
    <rPh sb="13" eb="14">
      <t>ボウ</t>
    </rPh>
    <rPh sb="22" eb="24">
      <t>ショゾク</t>
    </rPh>
    <rPh sb="26" eb="28">
      <t>チュウゴク</t>
    </rPh>
    <rPh sb="29" eb="31">
      <t>シコク</t>
    </rPh>
    <rPh sb="36" eb="37">
      <t>ゾク</t>
    </rPh>
    <rPh sb="39" eb="40">
      <t>ケン</t>
    </rPh>
    <rPh sb="45" eb="47">
      <t>ゼンコク</t>
    </rPh>
    <rPh sb="49" eb="50">
      <t>ニシ</t>
    </rPh>
    <rPh sb="50" eb="52">
      <t>ニホン</t>
    </rPh>
    <rPh sb="54" eb="55">
      <t>ボウ</t>
    </rPh>
    <phoneticPr fontId="3"/>
  </si>
  <si>
    <t>春奏でる胡蝶の舞</t>
    <rPh sb="0" eb="1">
      <t>ハル</t>
    </rPh>
    <rPh sb="1" eb="2">
      <t>カナ</t>
    </rPh>
    <rPh sb="4" eb="6">
      <t>コチョウ</t>
    </rPh>
    <rPh sb="7" eb="8">
      <t>マイ</t>
    </rPh>
    <phoneticPr fontId="3"/>
  </si>
  <si>
    <t>タイプ伝承・武人・姫の防25%UP　/　所属が【九州・沖縄】とそれに属する県、および【全国】【西日本】の防30%UP</t>
    <rPh sb="3" eb="5">
      <t>デンショウ</t>
    </rPh>
    <rPh sb="6" eb="8">
      <t>ブジン</t>
    </rPh>
    <rPh sb="9" eb="10">
      <t>ヒメ</t>
    </rPh>
    <rPh sb="11" eb="12">
      <t>ボウ</t>
    </rPh>
    <rPh sb="20" eb="22">
      <t>ショゾク</t>
    </rPh>
    <rPh sb="24" eb="26">
      <t>キュウシュウ</t>
    </rPh>
    <rPh sb="27" eb="29">
      <t>オキナワ</t>
    </rPh>
    <rPh sb="34" eb="35">
      <t>ゾク</t>
    </rPh>
    <rPh sb="37" eb="38">
      <t>ケン</t>
    </rPh>
    <rPh sb="43" eb="45">
      <t>ゼンコク</t>
    </rPh>
    <rPh sb="47" eb="48">
      <t>ニシ</t>
    </rPh>
    <rPh sb="48" eb="50">
      <t>ニホン</t>
    </rPh>
    <rPh sb="52" eb="53">
      <t>ボウ</t>
    </rPh>
    <phoneticPr fontId="3"/>
  </si>
  <si>
    <t>しゅんぶんあすとれあ</t>
    <phoneticPr fontId="3"/>
  </si>
  <si>
    <t>しゅんぶんあぐらいあー</t>
    <phoneticPr fontId="3"/>
  </si>
  <si>
    <t>しゅんぶんじゃたーゆ</t>
    <phoneticPr fontId="3"/>
  </si>
  <si>
    <t>しゅんぶんくろりあんぬ</t>
    <phoneticPr fontId="3"/>
  </si>
  <si>
    <t>しゅんぶんびすなー</t>
    <phoneticPr fontId="3"/>
  </si>
  <si>
    <t>しゅんぶんらどぅんま</t>
    <phoneticPr fontId="3"/>
  </si>
  <si>
    <t>イベント隊士以外の現行主要隊士の一部</t>
    <rPh sb="4" eb="6">
      <t>タイシ</t>
    </rPh>
    <rPh sb="6" eb="8">
      <t>イガイ</t>
    </rPh>
    <rPh sb="9" eb="11">
      <t>ゲンコウ</t>
    </rPh>
    <rPh sb="11" eb="13">
      <t>シュヨウ</t>
    </rPh>
    <rPh sb="13" eb="15">
      <t>タイシ</t>
    </rPh>
    <rPh sb="16" eb="18">
      <t>イチブ</t>
    </rPh>
    <phoneticPr fontId="3"/>
  </si>
  <si>
    <t>or個人的にMAX進化できた隊士</t>
    <phoneticPr fontId="3"/>
  </si>
  <si>
    <t>楓扇子を仰げば笑へ</t>
    <phoneticPr fontId="3"/>
  </si>
  <si>
    <t>へいけものがたりえまき</t>
    <phoneticPr fontId="3"/>
  </si>
  <si>
    <t>盛者必衰の潮流たるや</t>
    <phoneticPr fontId="3"/>
  </si>
  <si>
    <t>【氷閉夢】北の街のニェーヴェ</t>
    <phoneticPr fontId="3"/>
  </si>
  <si>
    <t>みつまめ進化論</t>
    <phoneticPr fontId="3"/>
  </si>
  <si>
    <t>タイプ神秘・知性派の攻30％UP</t>
    <phoneticPr fontId="3"/>
  </si>
  <si>
    <t>徳川を見守る大海原</t>
    <phoneticPr fontId="3"/>
  </si>
  <si>
    <t>恋を叶えるカカオビーンズ</t>
    <phoneticPr fontId="3"/>
  </si>
  <si>
    <t>一刀流瓶割</t>
    <phoneticPr fontId="3"/>
  </si>
  <si>
    <t>タイプ姫・伝承の防25％UP</t>
    <phoneticPr fontId="3"/>
  </si>
  <si>
    <t>時代を動かす弾丸</t>
    <phoneticPr fontId="3"/>
  </si>
  <si>
    <t>孝行娘の可憐な舞</t>
    <phoneticPr fontId="3"/>
  </si>
  <si>
    <t>災い招く蝋燭の呪い</t>
    <phoneticPr fontId="3"/>
  </si>
  <si>
    <t>宵闇駆ける黒き鎌刃</t>
    <phoneticPr fontId="3"/>
  </si>
  <si>
    <t>あかいろうそくとにんぎょ</t>
    <phoneticPr fontId="3"/>
  </si>
  <si>
    <t>水に浮かぶは眠り花</t>
    <phoneticPr fontId="3"/>
  </si>
  <si>
    <t>響くパイプオルガンの音色</t>
    <phoneticPr fontId="3"/>
  </si>
  <si>
    <t>とくがわよりさだ</t>
    <phoneticPr fontId="3"/>
  </si>
  <si>
    <t>北へ、南へ。</t>
    <phoneticPr fontId="3"/>
  </si>
  <si>
    <t>古代魚の世界三大珍味</t>
    <phoneticPr fontId="3"/>
  </si>
  <si>
    <t>さくふわカリッな乙女心</t>
    <phoneticPr fontId="3"/>
  </si>
  <si>
    <t>紅一点を彩る花園</t>
    <phoneticPr fontId="3"/>
  </si>
  <si>
    <t>凍結のプレッシャー・リッジ</t>
    <phoneticPr fontId="3"/>
  </si>
  <si>
    <t>おみわたり</t>
    <phoneticPr fontId="3"/>
  </si>
  <si>
    <t>昭和文壇と共に生きた女神</t>
    <phoneticPr fontId="3"/>
  </si>
  <si>
    <t>全てを観測するジオグラフィクス</t>
    <phoneticPr fontId="3"/>
  </si>
  <si>
    <t>たなかだてあいきつ</t>
    <phoneticPr fontId="3"/>
  </si>
  <si>
    <t>恨まれようとも進む道</t>
    <phoneticPr fontId="3"/>
  </si>
  <si>
    <t>タイプ姫・伝承の防30％UP</t>
    <phoneticPr fontId="3"/>
  </si>
  <si>
    <t>聖なる森のマリア</t>
    <phoneticPr fontId="3"/>
  </si>
  <si>
    <t>謎多き照準</t>
    <phoneticPr fontId="3"/>
  </si>
  <si>
    <t>タイプ伝承・武人・姫の攻30％UP</t>
    <phoneticPr fontId="3"/>
  </si>
  <si>
    <t>誉れ高き獣の隊士</t>
    <phoneticPr fontId="3"/>
  </si>
  <si>
    <t>傲慢和尚の皮肉たるや</t>
    <phoneticPr fontId="3"/>
  </si>
  <si>
    <t>煌めく夜空に舞う神事</t>
    <phoneticPr fontId="3"/>
  </si>
  <si>
    <t>御先稲荷の頂点</t>
    <phoneticPr fontId="3"/>
  </si>
  <si>
    <t>種族を超えて果たす義理</t>
    <phoneticPr fontId="3"/>
  </si>
  <si>
    <t>見えないからこそ、見える真実</t>
    <phoneticPr fontId="3"/>
  </si>
  <si>
    <t>悲劇による愛の成就</t>
    <phoneticPr fontId="3"/>
  </si>
  <si>
    <t>ろみおとじゅりえっといつくしまのないじ</t>
    <phoneticPr fontId="3"/>
  </si>
  <si>
    <t>仁王より受け継がれた剛剣</t>
    <phoneticPr fontId="3"/>
  </si>
  <si>
    <t>かいえんたいさかもとりょうま</t>
    <phoneticPr fontId="3"/>
  </si>
  <si>
    <t>タイプ【神秘】の攻30％UP</t>
    <phoneticPr fontId="3"/>
  </si>
  <si>
    <t>タイプ【武人】の攻50%UP　/　タイプ姫・伝承の攻25%UP</t>
    <rPh sb="4" eb="6">
      <t>ブジン</t>
    </rPh>
    <rPh sb="8" eb="9">
      <t>コウ</t>
    </rPh>
    <rPh sb="20" eb="21">
      <t>ヒメ</t>
    </rPh>
    <rPh sb="22" eb="24">
      <t>デンショウ</t>
    </rPh>
    <rPh sb="25" eb="26">
      <t>コウ</t>
    </rPh>
    <phoneticPr fontId="3"/>
  </si>
  <si>
    <t>タイプ知性派・飲食の攻25%UP　/　タイプ伝承・武人・姫の防30%DOWN</t>
    <rPh sb="3" eb="5">
      <t>チセイ</t>
    </rPh>
    <rPh sb="5" eb="6">
      <t>ハ</t>
    </rPh>
    <rPh sb="7" eb="9">
      <t>インショク</t>
    </rPh>
    <rPh sb="10" eb="11">
      <t>コウ</t>
    </rPh>
    <rPh sb="22" eb="24">
      <t>デンショウ</t>
    </rPh>
    <rPh sb="25" eb="27">
      <t>ブジン</t>
    </rPh>
    <rPh sb="28" eb="29">
      <t>ヒメ</t>
    </rPh>
    <rPh sb="30" eb="31">
      <t>ボウ</t>
    </rPh>
    <phoneticPr fontId="3"/>
  </si>
  <si>
    <t>21+16+21</t>
    <phoneticPr fontId="3"/>
  </si>
  <si>
    <t>14+13+14</t>
    <phoneticPr fontId="3"/>
  </si>
  <si>
    <t>14+11+13</t>
    <phoneticPr fontId="3"/>
  </si>
  <si>
    <t>16+11+14</t>
    <phoneticPr fontId="3"/>
  </si>
  <si>
    <t>17+15+(16+16)</t>
    <phoneticPr fontId="3"/>
  </si>
  <si>
    <t>スキル効果</t>
    <rPh sb="3" eb="5">
      <t>コウカ</t>
    </rPh>
    <phoneticPr fontId="3"/>
  </si>
  <si>
    <t>召喚アビリティ効果</t>
    <rPh sb="0" eb="2">
      <t>ショウカン</t>
    </rPh>
    <rPh sb="7" eb="9">
      <t>コウカ</t>
    </rPh>
    <phoneticPr fontId="3"/>
  </si>
  <si>
    <t>ガチャ 2017/12/4, 2018/1/3, 1/17?, 2/1, 2/17, 3/2, 4/5, 4/25, 5/12, 6/11, 7/7, 8/17, 9/26, 10/26, 12/30, 2019/1/30, 4/9, 6/17, 7/9, 8/17, 9/24, 10/23, 11/13, 12/9, 2020/1/16, 2/13, 3/27</t>
    <phoneticPr fontId="3"/>
  </si>
  <si>
    <t>22+15+(20+15) 21+竜+19</t>
    <rPh sb="17" eb="18">
      <t>リュウ</t>
    </rPh>
    <phoneticPr fontId="3"/>
  </si>
  <si>
    <t>23+17+(20+20),15,15,15,16</t>
    <phoneticPr fontId="3"/>
  </si>
  <si>
    <t>12(↑進化後13)+?+?,10,10,12</t>
    <rPh sb="4" eb="6">
      <t>シンカ</t>
    </rPh>
    <rPh sb="6" eb="7">
      <t>ゴ</t>
    </rPh>
    <phoneticPr fontId="3"/>
  </si>
  <si>
    <t>14+?+?,?,10,10,10 処12*1,13*1</t>
    <rPh sb="18" eb="19">
      <t>ショ</t>
    </rPh>
    <phoneticPr fontId="3"/>
  </si>
  <si>
    <t>13+?+?,11,10,11,12 処10*1,13*1</t>
    <rPh sb="19" eb="20">
      <t>ショ</t>
    </rPh>
    <phoneticPr fontId="3"/>
  </si>
  <si>
    <t>13+10+(13+12),10,10,10,10</t>
    <phoneticPr fontId="3"/>
  </si>
  <si>
    <t>15+11+14</t>
    <phoneticPr fontId="3"/>
  </si>
  <si>
    <t>処分候補14+13</t>
    <rPh sb="0" eb="2">
      <t>ショブン</t>
    </rPh>
    <rPh sb="2" eb="4">
      <t>コウホ</t>
    </rPh>
    <phoneticPr fontId="3"/>
  </si>
  <si>
    <t>処分候補15+13</t>
    <rPh sb="0" eb="2">
      <t>ショブン</t>
    </rPh>
    <rPh sb="2" eb="4">
      <t>コウホ</t>
    </rPh>
    <phoneticPr fontId="3"/>
  </si>
  <si>
    <t>処分候補14+13</t>
    <phoneticPr fontId="3"/>
  </si>
  <si>
    <t>処分候補14+14</t>
    <phoneticPr fontId="3"/>
  </si>
  <si>
    <t>処分候補12+12</t>
    <phoneticPr fontId="3"/>
  </si>
  <si>
    <t>2020/04/15 12:00～2020/06/15 11:59</t>
    <phoneticPr fontId="3"/>
  </si>
  <si>
    <t>【インド神話】金色姫</t>
    <phoneticPr fontId="3"/>
  </si>
  <si>
    <t>いんどしんわこんじきひめ</t>
    <phoneticPr fontId="3"/>
  </si>
  <si>
    <t>無垢なる美を司る神</t>
    <phoneticPr fontId="3"/>
  </si>
  <si>
    <t>【今昔百鬼拾遺】芭蕉精</t>
    <phoneticPr fontId="3"/>
  </si>
  <si>
    <t>その姿に化かされて</t>
    <phoneticPr fontId="3"/>
  </si>
  <si>
    <t>こんじゃくひゃっきしゅういばしょうのせい</t>
    <phoneticPr fontId="3"/>
  </si>
  <si>
    <t>英照皇太后</t>
    <phoneticPr fontId="3"/>
  </si>
  <si>
    <t>えいしょうこうたいごう</t>
    <phoneticPr fontId="3"/>
  </si>
  <si>
    <t>英照の舞</t>
    <phoneticPr fontId="3"/>
  </si>
  <si>
    <t>【ホワイトデー】牡丹</t>
    <phoneticPr fontId="3"/>
  </si>
  <si>
    <t>ほわいとでーぼたん</t>
    <phoneticPr fontId="3"/>
  </si>
  <si>
    <t>キャンディに愛を込めて</t>
    <phoneticPr fontId="3"/>
  </si>
  <si>
    <t>2018/03防衛戦</t>
    <rPh sb="7" eb="10">
      <t>ボウエイセン</t>
    </rPh>
    <phoneticPr fontId="3"/>
  </si>
  <si>
    <t>2018/03龍神杯</t>
    <phoneticPr fontId="3"/>
  </si>
  <si>
    <t>2018/03サイコロ</t>
    <phoneticPr fontId="3"/>
  </si>
  <si>
    <t>2018/03四神戦</t>
    <phoneticPr fontId="3"/>
  </si>
  <si>
    <t>20+17+(20+18),15,16,16</t>
    <phoneticPr fontId="3"/>
  </si>
  <si>
    <t>18(↑3進後20)+15+(17+16),14,15,15,16</t>
    <rPh sb="5" eb="6">
      <t>シン</t>
    </rPh>
    <rPh sb="6" eb="7">
      <t>ゴ</t>
    </rPh>
    <phoneticPr fontId="3"/>
  </si>
  <si>
    <t>[新生]ブルーベリーティーちゃん</t>
    <phoneticPr fontId="3"/>
  </si>
  <si>
    <t>しんせいぶるーべりーてぃーちゃん</t>
    <phoneticPr fontId="3"/>
  </si>
  <si>
    <t>甘酸っぱい香りの紅茶</t>
    <phoneticPr fontId="3"/>
  </si>
  <si>
    <t>ガチャ 2018/6/4, 7/4, 10/12, 11/12, 12/3, 2019/1/18, 3/3, 5/30, 6/13, 7/30, 8/30, 11/23, 12/23, 2020/1/23, 2/23, 4/20, 5/12</t>
    <phoneticPr fontId="3"/>
  </si>
  <si>
    <t>さかきばらみちこ</t>
    <phoneticPr fontId="3"/>
  </si>
  <si>
    <t>梅の枝に祈りを込めて</t>
    <phoneticPr fontId="3"/>
  </si>
  <si>
    <t>榊原禮子</t>
    <phoneticPr fontId="3"/>
  </si>
  <si>
    <t>15(古豪戦傑ガチャ)+12+(14+14),10,10,13,10</t>
    <phoneticPr fontId="3"/>
  </si>
  <si>
    <t>15+13+(14+14),10,10,11,11 処10*1,11*1</t>
    <phoneticPr fontId="3"/>
  </si>
  <si>
    <t>ゆかたおなみひめ</t>
    <phoneticPr fontId="3"/>
  </si>
  <si>
    <t>アツい姫の涼なる縁側</t>
    <rPh sb="3" eb="4">
      <t>ヒメ</t>
    </rPh>
    <rPh sb="5" eb="6">
      <t>リョウ</t>
    </rPh>
    <rPh sb="8" eb="10">
      <t>エンガワ</t>
    </rPh>
    <phoneticPr fontId="3"/>
  </si>
  <si>
    <t>タイプ姫・伝承の攻25%UP　/　タイプ【武人】の攻10%UP</t>
    <rPh sb="3" eb="4">
      <t>ヒメ</t>
    </rPh>
    <rPh sb="5" eb="7">
      <t>デンショウ</t>
    </rPh>
    <rPh sb="8" eb="9">
      <t>コウ</t>
    </rPh>
    <rPh sb="21" eb="23">
      <t>ブジン</t>
    </rPh>
    <rPh sb="25" eb="26">
      <t>コウ</t>
    </rPh>
    <phoneticPr fontId="3"/>
  </si>
  <si>
    <t>17+14+(16+15),11,11,12,11 処10*2,11*1</t>
    <phoneticPr fontId="3"/>
  </si>
  <si>
    <t>16(古豪戦傑ガチャ)+12+13,11,11,10,10</t>
    <phoneticPr fontId="3"/>
  </si>
  <si>
    <t>12+?+?,10,10,10,10 処10*2</t>
    <phoneticPr fontId="3"/>
  </si>
  <si>
    <t>同盟戦 2020年7月,8月,9月</t>
    <rPh sb="0" eb="2">
      <t>ドウメイ</t>
    </rPh>
    <rPh sb="2" eb="3">
      <t>セン</t>
    </rPh>
    <rPh sb="10" eb="11">
      <t>ガツ</t>
    </rPh>
    <rPh sb="13" eb="14">
      <t>ガツ</t>
    </rPh>
    <rPh sb="16" eb="17">
      <t>ガツ</t>
    </rPh>
    <phoneticPr fontId="3"/>
  </si>
  <si>
    <t>柔雪の檻</t>
    <phoneticPr fontId="3"/>
  </si>
  <si>
    <t>新雪の女王</t>
    <phoneticPr fontId="3"/>
  </si>
  <si>
    <t>しんせつのじょおう</t>
    <phoneticPr fontId="3"/>
  </si>
  <si>
    <t>プチデビルバニー</t>
    <phoneticPr fontId="3"/>
  </si>
  <si>
    <t>ぷちでびるばにー</t>
    <phoneticPr fontId="3"/>
  </si>
  <si>
    <t>スーベニアアップル</t>
    <phoneticPr fontId="3"/>
  </si>
  <si>
    <t>宮廷画家デュメル</t>
    <phoneticPr fontId="3"/>
  </si>
  <si>
    <t>きゅうていがかでゅめる</t>
    <phoneticPr fontId="3"/>
  </si>
  <si>
    <t>麗しの宮廷画家</t>
    <phoneticPr fontId="3"/>
  </si>
  <si>
    <t>研究士のマルヨ</t>
    <phoneticPr fontId="3"/>
  </si>
  <si>
    <t>けんきゅうしのまるよ</t>
    <phoneticPr fontId="3"/>
  </si>
  <si>
    <t>ラナラルアリヨス</t>
    <phoneticPr fontId="3"/>
  </si>
  <si>
    <t>カルネ・プリンシペ</t>
    <phoneticPr fontId="3"/>
  </si>
  <si>
    <t>かるね・ぷりんしぺ</t>
    <phoneticPr fontId="3"/>
  </si>
  <si>
    <t>デルガスト</t>
    <phoneticPr fontId="3"/>
  </si>
  <si>
    <t>格闘家ファンテ</t>
    <phoneticPr fontId="3"/>
  </si>
  <si>
    <t>かくとうかふぁんて</t>
    <phoneticPr fontId="3"/>
  </si>
  <si>
    <t>私の一撃</t>
    <phoneticPr fontId="3"/>
  </si>
  <si>
    <t>14+12+(13+13),12,13,10,10 処10*1,12*1</t>
    <phoneticPr fontId="3"/>
  </si>
  <si>
    <t>デカ盛りお好み焼きちゃん</t>
    <phoneticPr fontId="3"/>
  </si>
  <si>
    <t>お好みマウンテン！</t>
    <phoneticPr fontId="3"/>
  </si>
  <si>
    <t>でかもりおこのみやきちゃん</t>
    <phoneticPr fontId="3"/>
  </si>
  <si>
    <t>画霊</t>
    <phoneticPr fontId="3"/>
  </si>
  <si>
    <t>がれい</t>
    <phoneticPr fontId="3"/>
  </si>
  <si>
    <t>画に宿る執念</t>
    <phoneticPr fontId="3"/>
  </si>
  <si>
    <t>【職業体験】リュウグウノツカイ</t>
    <phoneticPr fontId="3"/>
  </si>
  <si>
    <t>しょくぎょうたいけんりゅうぐうのつかい</t>
    <phoneticPr fontId="3"/>
  </si>
  <si>
    <t>ショクギョウタイケンノツカイ</t>
    <phoneticPr fontId="3"/>
  </si>
  <si>
    <t>渋沢栄一</t>
    <phoneticPr fontId="3"/>
  </si>
  <si>
    <t>しぶさわえいいち</t>
    <phoneticPr fontId="3"/>
  </si>
  <si>
    <t>日本資本主義の父</t>
    <phoneticPr fontId="3"/>
  </si>
  <si>
    <t>2018/04防衛戦</t>
    <rPh sb="7" eb="10">
      <t>ボウエイセン</t>
    </rPh>
    <phoneticPr fontId="3"/>
  </si>
  <si>
    <t>2018/04龍神杯</t>
    <phoneticPr fontId="3"/>
  </si>
  <si>
    <t>2018/04サイコロ</t>
    <phoneticPr fontId="3"/>
  </si>
  <si>
    <t>2018/04四神戦</t>
    <phoneticPr fontId="3"/>
  </si>
  <si>
    <t>2018/05防衛戦</t>
    <rPh sb="7" eb="10">
      <t>ボウエイセン</t>
    </rPh>
    <phoneticPr fontId="3"/>
  </si>
  <si>
    <t>2018/05龍神杯</t>
    <phoneticPr fontId="3"/>
  </si>
  <si>
    <t>2018/05サイコロ</t>
    <phoneticPr fontId="3"/>
  </si>
  <si>
    <t>【日本号】母里友信</t>
    <phoneticPr fontId="3"/>
  </si>
  <si>
    <t>にほんごうもりとものぶ</t>
    <phoneticPr fontId="3"/>
  </si>
  <si>
    <t>酒は呑め呑め呑むならば！</t>
    <phoneticPr fontId="3"/>
  </si>
  <si>
    <t>比内地鶏</t>
    <phoneticPr fontId="3"/>
  </si>
  <si>
    <t>ひないじどり</t>
    <phoneticPr fontId="3"/>
  </si>
  <si>
    <t>濃厚な味と歯ごたえを召し上がれ！</t>
    <phoneticPr fontId="3"/>
  </si>
  <si>
    <t>【サファリパーク】つらら女</t>
    <phoneticPr fontId="3"/>
  </si>
  <si>
    <t>さふぁりぱーくつららおんな</t>
    <phoneticPr fontId="3"/>
  </si>
  <si>
    <t>凍える一突き</t>
    <phoneticPr fontId="3"/>
  </si>
  <si>
    <t>【女城主】井伊直虎</t>
    <phoneticPr fontId="3"/>
  </si>
  <si>
    <t>おんなじょうしゅいいなおとら</t>
    <phoneticPr fontId="3"/>
  </si>
  <si>
    <t>井伊護る執念の女城主</t>
    <phoneticPr fontId="3"/>
  </si>
  <si>
    <t>2018/05天下統一戦</t>
    <rPh sb="7" eb="9">
      <t>テンカ</t>
    </rPh>
    <rPh sb="9" eb="11">
      <t>トウイツ</t>
    </rPh>
    <rPh sb="11" eb="12">
      <t>セン</t>
    </rPh>
    <phoneticPr fontId="3"/>
  </si>
  <si>
    <t>【春の体育祭】あま姫</t>
    <phoneticPr fontId="3"/>
  </si>
  <si>
    <t>23,</t>
    <phoneticPr fontId="3"/>
  </si>
  <si>
    <t>はるのたいいくさいあまひめ</t>
    <phoneticPr fontId="3"/>
  </si>
  <si>
    <t>無敵の親子</t>
    <phoneticPr fontId="3"/>
  </si>
  <si>
    <t>はろうぃんあぺふちかむい</t>
    <phoneticPr fontId="3"/>
  </si>
  <si>
    <t>小悪魔キャンディ</t>
    <phoneticPr fontId="3"/>
  </si>
  <si>
    <t>【ハロウィン】アペフチカムイ</t>
    <phoneticPr fontId="3"/>
  </si>
  <si>
    <t>迦陵頻伽</t>
    <phoneticPr fontId="3"/>
  </si>
  <si>
    <t>かりょうびんが</t>
    <phoneticPr fontId="3"/>
  </si>
  <si>
    <t>極楽浄土に響き渡る世界</t>
    <phoneticPr fontId="3"/>
  </si>
  <si>
    <t>タイプ【知性派】の攻15％UP</t>
    <phoneticPr fontId="3"/>
  </si>
  <si>
    <t>引10</t>
    <phoneticPr fontId="3"/>
  </si>
  <si>
    <t>巴御前</t>
    <phoneticPr fontId="3"/>
  </si>
  <si>
    <t>ともえごぜん</t>
    <phoneticPr fontId="3"/>
  </si>
  <si>
    <t>【五山送り火】大文字</t>
    <phoneticPr fontId="3"/>
  </si>
  <si>
    <t>ござんおくりびだいもんじ</t>
    <phoneticPr fontId="3"/>
  </si>
  <si>
    <t>ねねこ河童</t>
    <phoneticPr fontId="3"/>
  </si>
  <si>
    <t>ねねこかっぱ</t>
    <phoneticPr fontId="3"/>
  </si>
  <si>
    <t>【氷菓の季節】妙林尼</t>
    <phoneticPr fontId="3"/>
  </si>
  <si>
    <t>涼を愛する女傑</t>
    <phoneticPr fontId="3"/>
  </si>
  <si>
    <t>ひょうかのきせつみょうりんに</t>
    <phoneticPr fontId="3"/>
  </si>
  <si>
    <t>ガチャ 2018/6/4, 7/4, 10/3, 11/3, 12/18, 2019/2/3, 3/18, 4/3, 7/13, 8/9, 9/17, 10/9, 11/19, 12/19, 2020/1/19, 8/27</t>
    <phoneticPr fontId="3"/>
  </si>
  <si>
    <t>【千福万来】座敷わらし</t>
    <phoneticPr fontId="3"/>
  </si>
  <si>
    <t>【ウィンタースポーツ】木村曙</t>
    <phoneticPr fontId="3"/>
  </si>
  <si>
    <t>にらみ鯛</t>
    <phoneticPr fontId="3"/>
  </si>
  <si>
    <t>昌泉院</t>
    <phoneticPr fontId="3"/>
  </si>
  <si>
    <t>15+9+(14+11)</t>
    <phoneticPr fontId="3"/>
  </si>
  <si>
    <t>20+11+(18+16),11</t>
    <phoneticPr fontId="3"/>
  </si>
  <si>
    <t>17+13+(16+14),11,11</t>
    <phoneticPr fontId="3"/>
  </si>
  <si>
    <t>12+11+12,10,10,10</t>
    <phoneticPr fontId="3"/>
  </si>
  <si>
    <t>11+10+10,10</t>
    <phoneticPr fontId="3"/>
  </si>
  <si>
    <t>13+?+?,10,10</t>
    <phoneticPr fontId="3"/>
  </si>
  <si>
    <t>14+13+(13+13),10</t>
    <phoneticPr fontId="3"/>
  </si>
  <si>
    <t>13(↑3進後14・復活チケ)+12+(12+12),12,12,12,11 処11*1</t>
    <rPh sb="39" eb="40">
      <t>ショ</t>
    </rPh>
    <phoneticPr fontId="3"/>
  </si>
  <si>
    <t>18+12+(18+16) 14+12+(14+14),9,11,13,11</t>
    <phoneticPr fontId="3"/>
  </si>
  <si>
    <t>18+17+(17+17),12,14,15 14+9+(13+9),11</t>
    <phoneticPr fontId="3"/>
  </si>
  <si>
    <t>18+15+(16+16),15,15 15+竜+(14+13),15</t>
    <rPh sb="23" eb="24">
      <t>リュウ</t>
    </rPh>
    <phoneticPr fontId="3"/>
  </si>
  <si>
    <t>引2倉1</t>
    <phoneticPr fontId="3"/>
  </si>
  <si>
    <t>20+14+(18+15) 18+14+(14+14),12</t>
    <phoneticPr fontId="3"/>
  </si>
  <si>
    <t>18+15+(17+15),11,11,12,12</t>
    <phoneticPr fontId="3"/>
  </si>
  <si>
    <t>16+14+(14+14),13,14,15,15</t>
    <phoneticPr fontId="3"/>
  </si>
  <si>
    <t>17+12+(14+13),10,11,11,11</t>
    <phoneticPr fontId="3"/>
  </si>
  <si>
    <t>18+15+(18+18),14</t>
    <phoneticPr fontId="3"/>
  </si>
  <si>
    <t>西洋の巨神</t>
    <phoneticPr fontId="3"/>
  </si>
  <si>
    <t>美味しさの秘訣</t>
    <phoneticPr fontId="3"/>
  </si>
  <si>
    <t>滋養守護</t>
    <phoneticPr fontId="3"/>
  </si>
  <si>
    <t>天に輝く星たち</t>
    <phoneticPr fontId="3"/>
  </si>
  <si>
    <t>魂の守護者</t>
    <phoneticPr fontId="3"/>
  </si>
  <si>
    <t>向日葵の微笑み</t>
    <phoneticPr fontId="3"/>
  </si>
  <si>
    <t>アトラース</t>
    <phoneticPr fontId="3"/>
  </si>
  <si>
    <t>ショコラ・フェ</t>
    <phoneticPr fontId="3"/>
  </si>
  <si>
    <t>ケルブ</t>
    <phoneticPr fontId="3"/>
  </si>
  <si>
    <t>タラゼトとレダ</t>
    <phoneticPr fontId="3"/>
  </si>
  <si>
    <t>プシコポンポイ</t>
    <phoneticPr fontId="3"/>
  </si>
  <si>
    <t>サンフラウア</t>
    <phoneticPr fontId="3"/>
  </si>
  <si>
    <t>あとらーす</t>
    <phoneticPr fontId="3"/>
  </si>
  <si>
    <t>しょこら・ふぇ</t>
    <phoneticPr fontId="3"/>
  </si>
  <si>
    <t>けるぶ</t>
    <phoneticPr fontId="3"/>
  </si>
  <si>
    <t>たらぜととれだ</t>
    <phoneticPr fontId="3"/>
  </si>
  <si>
    <t>ぷしこぽんぽい</t>
    <phoneticPr fontId="3"/>
  </si>
  <si>
    <t>さんふらうあ</t>
    <phoneticPr fontId="3"/>
  </si>
  <si>
    <t>同盟戦 2020年10月,11月,12月</t>
    <rPh sb="0" eb="2">
      <t>ドウメイ</t>
    </rPh>
    <rPh sb="2" eb="3">
      <t>セン</t>
    </rPh>
    <rPh sb="11" eb="12">
      <t>ガツ</t>
    </rPh>
    <rPh sb="15" eb="16">
      <t>ガツ</t>
    </rPh>
    <rPh sb="19" eb="20">
      <t>ガツ</t>
    </rPh>
    <phoneticPr fontId="3"/>
  </si>
  <si>
    <t>マーダードール</t>
    <phoneticPr fontId="3"/>
  </si>
  <si>
    <t>シヴァージー</t>
    <phoneticPr fontId="3"/>
  </si>
  <si>
    <t>符術士サラシナ</t>
    <phoneticPr fontId="3"/>
  </si>
  <si>
    <t>勁松院綏姫</t>
    <phoneticPr fontId="3"/>
  </si>
  <si>
    <t>13(↑進化後14)+11+(12+11),12,12,10,10 処10*1,11*1</t>
    <phoneticPr fontId="3"/>
  </si>
  <si>
    <t>主に防衛戦月初ガチャで販売される6地方SSR以外の召喚アビリティ所属一致ボーナス系</t>
    <rPh sb="0" eb="1">
      <t>オモ</t>
    </rPh>
    <rPh sb="2" eb="5">
      <t>ボウエイセン</t>
    </rPh>
    <rPh sb="5" eb="7">
      <t>ゲッショ</t>
    </rPh>
    <rPh sb="11" eb="13">
      <t>ハンバイ</t>
    </rPh>
    <rPh sb="17" eb="19">
      <t>チホウ</t>
    </rPh>
    <rPh sb="22" eb="24">
      <t>イガイ</t>
    </rPh>
    <rPh sb="25" eb="27">
      <t>ショウカン</t>
    </rPh>
    <rPh sb="40" eb="41">
      <t>ケイ</t>
    </rPh>
    <phoneticPr fontId="3"/>
  </si>
  <si>
    <t>【海開き】ラグーザ玉</t>
    <phoneticPr fontId="3"/>
  </si>
  <si>
    <t>うみびらきらぐーざたま</t>
    <phoneticPr fontId="3"/>
  </si>
  <si>
    <t>【レースクイーン】ねね</t>
    <phoneticPr fontId="3"/>
  </si>
  <si>
    <t>れーすくいーんねね</t>
    <phoneticPr fontId="3"/>
  </si>
  <si>
    <t>【X’masパーティ】小式部内侍</t>
    <phoneticPr fontId="3"/>
  </si>
  <si>
    <t>くりすますぱーてぃこしきぶのないじ</t>
    <phoneticPr fontId="3"/>
  </si>
  <si>
    <t>【節分】エヒメノミコト</t>
    <phoneticPr fontId="3"/>
  </si>
  <si>
    <t>せつぶんえひめのみこと</t>
    <phoneticPr fontId="3"/>
  </si>
  <si>
    <t>【お花見】天草四郎</t>
    <phoneticPr fontId="3"/>
  </si>
  <si>
    <t>おはなみあまくさしろう</t>
    <phoneticPr fontId="3"/>
  </si>
  <si>
    <t>有料ガチャでごくまれに再販されないこともない</t>
    <rPh sb="0" eb="2">
      <t>ユウリョウ</t>
    </rPh>
    <phoneticPr fontId="3"/>
  </si>
  <si>
    <t>【ウサギの里】佐保姫</t>
    <phoneticPr fontId="3"/>
  </si>
  <si>
    <t>うさぎのさとさほひめ</t>
    <phoneticPr fontId="3"/>
  </si>
  <si>
    <t>采配振るう名執政</t>
    <phoneticPr fontId="3"/>
  </si>
  <si>
    <t>ガチャ 記録なし</t>
    <rPh sb="4" eb="6">
      <t>キロク</t>
    </rPh>
    <phoneticPr fontId="3"/>
  </si>
  <si>
    <t>C18攻72030防65596 12+11+11,10,10,10,11</t>
    <phoneticPr fontId="3"/>
  </si>
  <si>
    <t>C17攻60304防64855 処10</t>
    <phoneticPr fontId="3"/>
  </si>
  <si>
    <t>C18攻65596防72030 11+10+(11+10),10,10</t>
    <phoneticPr fontId="3"/>
  </si>
  <si>
    <t>宮古島</t>
    <phoneticPr fontId="3"/>
  </si>
  <si>
    <t>エウテルペー</t>
    <phoneticPr fontId="3"/>
  </si>
  <si>
    <t>【MONSTER】鍋島慶誾尼</t>
    <phoneticPr fontId="3"/>
  </si>
  <si>
    <t>ユーノー</t>
    <phoneticPr fontId="3"/>
  </si>
  <si>
    <t>ソーイングマスター</t>
    <phoneticPr fontId="3"/>
  </si>
  <si>
    <t>天狗のかくれみの</t>
    <phoneticPr fontId="3"/>
  </si>
  <si>
    <t>ジュリグワーマジムン</t>
    <phoneticPr fontId="3"/>
  </si>
  <si>
    <t>北原白秋</t>
    <phoneticPr fontId="3"/>
  </si>
  <si>
    <t>提琴のフィーレ</t>
    <phoneticPr fontId="3"/>
  </si>
  <si>
    <t>天児屋命</t>
    <phoneticPr fontId="3"/>
  </si>
  <si>
    <t>15+13+(14+13),10</t>
    <phoneticPr fontId="3"/>
  </si>
  <si>
    <t>C13攻93868防86589 (13+8)+竜+((8+竜)+(8+竜))</t>
    <rPh sb="3" eb="4">
      <t>コウ</t>
    </rPh>
    <rPh sb="9" eb="10">
      <t>ボウ</t>
    </rPh>
    <phoneticPr fontId="3"/>
  </si>
  <si>
    <t>*158853</t>
    <phoneticPr fontId="3"/>
  </si>
  <si>
    <t>*146535</t>
    <phoneticPr fontId="3"/>
  </si>
  <si>
    <t>*78838</t>
    <phoneticPr fontId="3"/>
  </si>
  <si>
    <t>*84796</t>
    <phoneticPr fontId="3"/>
  </si>
  <si>
    <t>*52592</t>
    <phoneticPr fontId="3"/>
  </si>
  <si>
    <t>*47886</t>
    <phoneticPr fontId="3"/>
  </si>
  <si>
    <t>*50106</t>
    <phoneticPr fontId="3"/>
  </si>
  <si>
    <t>*46586</t>
    <phoneticPr fontId="3"/>
  </si>
  <si>
    <t>佐々木小次郎</t>
    <phoneticPr fontId="3"/>
  </si>
  <si>
    <t>C13攻64054防59656</t>
    <rPh sb="3" eb="4">
      <t>コウ</t>
    </rPh>
    <rPh sb="9" eb="10">
      <t>ボウ</t>
    </rPh>
    <phoneticPr fontId="3"/>
  </si>
  <si>
    <t>*100956</t>
    <phoneticPr fontId="3"/>
  </si>
  <si>
    <t>*108399</t>
    <phoneticPr fontId="3"/>
  </si>
  <si>
    <t>入手元は、当該イベントでの各入手経路における最高のコストの組み合わせによる進化後の数値であるため、</t>
    <rPh sb="0" eb="2">
      <t>ニュウシュ</t>
    </rPh>
    <rPh sb="2" eb="3">
      <t>モト</t>
    </rPh>
    <rPh sb="5" eb="7">
      <t>トウガイ</t>
    </rPh>
    <rPh sb="13" eb="14">
      <t>カク</t>
    </rPh>
    <rPh sb="14" eb="16">
      <t>ニュウシュ</t>
    </rPh>
    <rPh sb="16" eb="18">
      <t>ケイロ</t>
    </rPh>
    <rPh sb="22" eb="24">
      <t>サイコウ</t>
    </rPh>
    <rPh sb="29" eb="30">
      <t>ク</t>
    </rPh>
    <rPh sb="31" eb="32">
      <t>ア</t>
    </rPh>
    <rPh sb="37" eb="39">
      <t>シンカ</t>
    </rPh>
    <rPh sb="39" eb="40">
      <t>ゴ</t>
    </rPh>
    <rPh sb="41" eb="43">
      <t>スウチ</t>
    </rPh>
    <phoneticPr fontId="3"/>
  </si>
  <si>
    <t>『*』は推定値(LMGでは同一コスト13による進化後の攻防値が提示されるが、ここで推定に使用した攻防値の</t>
    <rPh sb="4" eb="7">
      <t>スイテイチ</t>
    </rPh>
    <rPh sb="13" eb="15">
      <t>ドウイツ</t>
    </rPh>
    <rPh sb="23" eb="25">
      <t>シンカ</t>
    </rPh>
    <rPh sb="25" eb="26">
      <t>ゴ</t>
    </rPh>
    <rPh sb="27" eb="29">
      <t>コウボウ</t>
    </rPh>
    <rPh sb="29" eb="30">
      <t>チ</t>
    </rPh>
    <rPh sb="31" eb="33">
      <t>テイジ</t>
    </rPh>
    <rPh sb="41" eb="43">
      <t>スイテイ</t>
    </rPh>
    <rPh sb="44" eb="46">
      <t>シヨウ</t>
    </rPh>
    <phoneticPr fontId="3"/>
  </si>
  <si>
    <t>『*』は推定値(ガチャの実施時期からの推定)</t>
    <rPh sb="4" eb="7">
      <t>スイテイチ</t>
    </rPh>
    <rPh sb="12" eb="14">
      <t>ジッシ</t>
    </rPh>
    <rPh sb="14" eb="16">
      <t>ジキ</t>
    </rPh>
    <rPh sb="19" eb="21">
      <t>スイテイ</t>
    </rPh>
    <phoneticPr fontId="3"/>
  </si>
  <si>
    <t>【花火師】越前蟹鍋ちゃん</t>
  </si>
  <si>
    <t>はなびしえちぜんがになべちゃん</t>
    <phoneticPr fontId="3"/>
  </si>
  <si>
    <t>夜空彩る贅沢なひととき</t>
    <phoneticPr fontId="3"/>
  </si>
  <si>
    <t>26,22</t>
    <phoneticPr fontId="3"/>
  </si>
  <si>
    <t>【年越し】滝夜叉姫</t>
  </si>
  <si>
    <t>としこしたきやしゃひめ</t>
    <phoneticPr fontId="3"/>
  </si>
  <si>
    <t>除夜の鐘つく丑の刻参り</t>
    <phoneticPr fontId="3"/>
  </si>
  <si>
    <t>26,</t>
    <phoneticPr fontId="3"/>
  </si>
  <si>
    <t>妖艶音楽家</t>
    <phoneticPr fontId="3"/>
  </si>
  <si>
    <t>【新年音楽会】博多美人</t>
  </si>
  <si>
    <t>しんねんおんがくかいはかたびじん</t>
    <phoneticPr fontId="3"/>
  </si>
  <si>
    <t>【いちご狩り】屋久島ちゃん</t>
    <phoneticPr fontId="3"/>
  </si>
  <si>
    <t>いちごがりやくしまちゃん</t>
    <phoneticPr fontId="3"/>
  </si>
  <si>
    <t>世界遺産的イチゴスイーツ</t>
    <phoneticPr fontId="3"/>
  </si>
  <si>
    <t>【読書の季節】平家蟹</t>
  </si>
  <si>
    <t>どくしょのきせつへいけがに</t>
    <phoneticPr fontId="3"/>
  </si>
  <si>
    <t>刻まれた強い想い</t>
    <phoneticPr fontId="3"/>
  </si>
  <si>
    <t>18(↑3進後20)+13+15</t>
    <rPh sb="5" eb="6">
      <t>シン</t>
    </rPh>
    <rPh sb="6" eb="7">
      <t>ゴ</t>
    </rPh>
    <phoneticPr fontId="3"/>
  </si>
  <si>
    <t>22+竜+絶大,20</t>
    <rPh sb="3" eb="4">
      <t>リュウ</t>
    </rPh>
    <rPh sb="5" eb="7">
      <t>ゼツダイ</t>
    </rPh>
    <phoneticPr fontId="3"/>
  </si>
  <si>
    <t>【すすき狩り】狐の嫁入り</t>
  </si>
  <si>
    <t>すすきがりきつねのよめいり</t>
    <phoneticPr fontId="3"/>
  </si>
  <si>
    <t>銀に輝く尾花を摘んで</t>
    <phoneticPr fontId="3"/>
  </si>
  <si>
    <t>【おもちゃ】パペットマスター</t>
  </si>
  <si>
    <t>おもちゃぱぺっとますたー</t>
    <phoneticPr fontId="3"/>
  </si>
  <si>
    <t>磨かれた技術</t>
    <phoneticPr fontId="3"/>
  </si>
  <si>
    <t>『*』は参考値(他コスト攻防値より算出・誤差±3程度)</t>
    <rPh sb="4" eb="6">
      <t>サンコウ</t>
    </rPh>
    <rPh sb="6" eb="7">
      <t>アタイ</t>
    </rPh>
    <rPh sb="8" eb="9">
      <t>タ</t>
    </rPh>
    <rPh sb="12" eb="14">
      <t>コウボウ</t>
    </rPh>
    <rPh sb="14" eb="15">
      <t>チ</t>
    </rPh>
    <rPh sb="17" eb="19">
      <t>サンシュツ</t>
    </rPh>
    <rPh sb="20" eb="22">
      <t>ゴサ</t>
    </rPh>
    <rPh sb="24" eb="26">
      <t>テイド</t>
    </rPh>
    <phoneticPr fontId="3"/>
  </si>
  <si>
    <t>そこからLMGでの攻防値を正確に算出することが困難。算出値+500程度の誤差とみて同時期他隊士から推定)</t>
    <rPh sb="9" eb="11">
      <t>コウボウ</t>
    </rPh>
    <rPh sb="11" eb="12">
      <t>チ</t>
    </rPh>
    <rPh sb="13" eb="15">
      <t>セイカク</t>
    </rPh>
    <rPh sb="16" eb="18">
      <t>サンシュツ</t>
    </rPh>
    <rPh sb="23" eb="25">
      <t>コンナン</t>
    </rPh>
    <rPh sb="26" eb="28">
      <t>サンシュツ</t>
    </rPh>
    <rPh sb="28" eb="29">
      <t>アタイ</t>
    </rPh>
    <rPh sb="33" eb="35">
      <t>テイド</t>
    </rPh>
    <rPh sb="36" eb="38">
      <t>ゴサ</t>
    </rPh>
    <rPh sb="41" eb="44">
      <t>ドウジキ</t>
    </rPh>
    <rPh sb="44" eb="45">
      <t>タ</t>
    </rPh>
    <rPh sb="45" eb="47">
      <t>タイシ</t>
    </rPh>
    <rPh sb="49" eb="51">
      <t>スイテイ</t>
    </rPh>
    <phoneticPr fontId="3"/>
  </si>
  <si>
    <t>[新生]宇喜也嘉</t>
  </si>
  <si>
    <t>しんせいおぎやか</t>
    <phoneticPr fontId="3"/>
  </si>
  <si>
    <t>権力を掌握した女帝</t>
    <phoneticPr fontId="3"/>
  </si>
  <si>
    <t>タイプ名物・偉人・武人の攻50％UP　/　タイプ【妖怪】の攻30％UP</t>
  </si>
  <si>
    <t>【ハウステンボス】小西マリア</t>
    <phoneticPr fontId="3"/>
  </si>
  <si>
    <t>はうすてんぼすこにしまりあ</t>
    <phoneticPr fontId="3"/>
  </si>
  <si>
    <t>長崎での清き信仰</t>
    <phoneticPr fontId="3"/>
  </si>
  <si>
    <t>【ナイトパーティ】名月姫</t>
    <phoneticPr fontId="3"/>
  </si>
  <si>
    <t>ないとぱーてぃめいげつひめ</t>
    <phoneticPr fontId="3"/>
  </si>
  <si>
    <t>今宵は観月の宴</t>
    <phoneticPr fontId="3"/>
  </si>
  <si>
    <t>【池泉】牡丹</t>
    <phoneticPr fontId="3"/>
  </si>
  <si>
    <t>ちせんぼたん</t>
    <phoneticPr fontId="3"/>
  </si>
  <si>
    <t>妖艶に咲く富貴花</t>
    <phoneticPr fontId="3"/>
  </si>
  <si>
    <t>後醍醐天皇</t>
    <phoneticPr fontId="3"/>
  </si>
  <si>
    <t>ごだいごてんのう</t>
    <phoneticPr fontId="3"/>
  </si>
  <si>
    <t>沸き上がる政治への渇望</t>
    <phoneticPr fontId="3"/>
  </si>
  <si>
    <t>おかしおののこまち</t>
    <phoneticPr fontId="3"/>
  </si>
  <si>
    <t>【旅館】八尺瓊勾玉</t>
    <phoneticPr fontId="3"/>
  </si>
  <si>
    <t>りょかんやさかにのまがたま</t>
    <phoneticPr fontId="3"/>
  </si>
  <si>
    <t>清浄へ導く有能女将</t>
    <phoneticPr fontId="3"/>
  </si>
  <si>
    <t>【ダイビング】チョウザメ</t>
    <phoneticPr fontId="3"/>
  </si>
  <si>
    <t>だいびんぐちょうざめ</t>
    <phoneticPr fontId="3"/>
  </si>
  <si>
    <t>南国海に潜りし北海の皇女</t>
    <phoneticPr fontId="3"/>
  </si>
  <si>
    <t>【華麗なる】黒比売</t>
    <phoneticPr fontId="3"/>
  </si>
  <si>
    <t>かれいなるくろひめ</t>
    <phoneticPr fontId="3"/>
  </si>
  <si>
    <t>黒き魅力は引く手あまた</t>
    <phoneticPr fontId="3"/>
  </si>
  <si>
    <t>タイプ伝承・武人・姫の攻25％UP　/　タイプ神秘・知性派・飲食の防50％DOWN</t>
  </si>
  <si>
    <t>タイプ偉人・妖怪・知性派の攻40％UP　/　タイプ【名物】の攻35％UP</t>
  </si>
  <si>
    <t>タイプ偉人・名物の防45％UP　/　タイプ【妖怪】の防15％UP</t>
  </si>
  <si>
    <t>タイプ偉人・妖怪・名物の防35％UP　/　タイプ偉人・妖怪・名物の攻10％DOWN</t>
  </si>
  <si>
    <t>タイプ伝承・武人・姫の防30％UP　/　タイプ名物・知性派・飲食・神秘の攻13％DOWN</t>
  </si>
  <si>
    <t>タイプ知性派・飲食の防50％UP　/　タイプ【神秘】の防35％UP</t>
  </si>
  <si>
    <t>タイプ神秘・知性派・飲食の防40％UP　/　タイプ偉人・妖怪・名物の攻10％DOWN</t>
  </si>
  <si>
    <t>タイプ知性派・飲食の防45％UP　/　所属が【北海道・東北】とそれに属する県、および【全国】【東日本】の防30％UP</t>
  </si>
  <si>
    <t>タイプ偉人・名物の防45％UP　/　所属が【関東】とそれに属する県、および【全国】【東日本】の防30％UP</t>
  </si>
  <si>
    <t>タイプ妖怪・名物の防45％UP　/　所属が【中部】とそれに属する県、および【全国】【東日本】の防30％UP</t>
  </si>
  <si>
    <t>タイプ神秘・飲食の攻45％UP　/　所属が【近畿】とそれに属する県、および【全国】【西日本】の攻30％UP</t>
  </si>
  <si>
    <t>タイプ神秘・知性派の攻45％UP　/　所属が【中国・四国】とそれに属する県、および【全国】【西日本】の攻30％UP</t>
  </si>
  <si>
    <t>タイプ姫・伝承の攻45％UP　/　所属が【九州・沖縄】とそれに属する県、および【全国】【西日本】の攻30％UP</t>
  </si>
  <si>
    <t>タイプ武人・伝承の攻45％UP　/　所属が【北海道・東北】とそれに属する県、および【全国】【東日本】の攻30％UP</t>
  </si>
  <si>
    <t>タイプ神秘・知性派の攻45％UP　/　所属が【関東】とそれに属する県、および【全国】【東日本】の攻30％UP</t>
  </si>
  <si>
    <t>タイプ知性派・飲食の攻45％UP　/　所属が【中部】とそれに属する県、および【全国】【東日本】の攻30％UP</t>
  </si>
  <si>
    <t>タイプ偉人・名物の防45％UP　/　所属が【近畿】とそれに属する県、および【全国】【西日本】の防30％UP</t>
  </si>
  <si>
    <t>タイプ武人・姫の防45％UP　/　所属が【中国・四国】とそれに属する県、および【全国】【西日本】の防30％UP</t>
  </si>
  <si>
    <t>タイプ偉人・妖怪の防45％UP　/　所属が【九州・沖縄】とそれに属する県、および【全国】【西日本】の防30％UP</t>
  </si>
  <si>
    <t>タイプ偉人・妖怪・名物の攻70％DOWN　/　タイプ妖怪・名物の防30％UP</t>
  </si>
  <si>
    <t>タイプ名物・妖怪・姫の攻40％UP　/　タイプ伝承・武人・偉人の攻35％UP</t>
  </si>
  <si>
    <t>タイプ神秘・知性派・飲食の攻45％UP　/　タイプ伝承・武人・姫の防10％DOWN</t>
  </si>
  <si>
    <t>タイプ伝承・神秘の防50％UP　/　タイプ知性派・飲食の防30％UP</t>
  </si>
  <si>
    <t>タイプ伝承・武人・姫の防15％UP　/　タイプ偉人・姫・武人・伝承の攻25％DOWN</t>
  </si>
  <si>
    <t>タイプ【妖怪】の攻90％UP　/　タイプ偉人・名物の攻20％UP</t>
  </si>
  <si>
    <t>タイプ偉人・妖怪・名物の攻40％UP　/　タイプ偉人・妖怪・名物の防10％DOWN</t>
  </si>
  <si>
    <t>タイプ神秘・知性派・飲食の防35％UP　/　タイプ伝承・武人・姫の攻10％DOWN</t>
  </si>
  <si>
    <t>タイプ伝承・武人・姫の攻30％UP　/　タイプ武人・妖怪・名物・偉人の防13％DOWN</t>
  </si>
  <si>
    <t>タイプ伝承・武人・姫の防15％UP　/　タイプ神秘・飲食・知性派・武人の攻25％DOWN</t>
  </si>
  <si>
    <t>タイプ武人・伝承の防90％DOWN　/　タイプ妖怪・名物の攻30％UP</t>
  </si>
  <si>
    <t>タイプ姫・伝承の防30％UP　/　タイプ神秘・知性派・飲食の攻12％DOWN</t>
  </si>
  <si>
    <t>タイプ【姫】の防30％UP　/　タイプ武人・伝承の防15％UP</t>
  </si>
  <si>
    <t>タイプ伝承・武人・姫の防30％UP　/　タイプ神秘・知性派・飲食・武人の攻13％DOWN</t>
  </si>
  <si>
    <t>タイプ偉人・妖怪・名物の防35％UP　/　タイプ伝承・武人・姫の攻5％DOWN</t>
  </si>
  <si>
    <t>タイプ知性派・飲食の攻25％UP　/　タイプ【神秘】の攻10％UP</t>
  </si>
  <si>
    <t>タイプ伝承・武人・姫の攻80％DOWN　/　タイプ神秘・知性派の防25％UP</t>
  </si>
  <si>
    <t>タイプ神秘・知性派の攻15％UP　/　タイプ【飲食】の攻30％UP</t>
  </si>
  <si>
    <t>タイプ【飲食】の防75％UP　/　タイプ神秘・知性派の防30％UP</t>
  </si>
  <si>
    <t>タイプ伝承・武人・姫の防15％UP　/　タイプ武人・妖怪・名物・偉人の攻25％DOWN</t>
  </si>
  <si>
    <t>タイプ姫・伝承の攻35％UP　/　タイプ神秘・知性派・飲食の防12％DOWN</t>
  </si>
  <si>
    <t>タイプ武人・知性派の攻50％UP　/　タイプ姫・伝承の攻30％UP</t>
  </si>
  <si>
    <t>タイプ偉人・妖怪の防45％UP　/　タイプ名物・伝承・姫の防25％UP</t>
  </si>
  <si>
    <t>タイプ名物・妖怪・飲食の防40％UP　/　タイプ【偉人】の防12％UP</t>
  </si>
  <si>
    <t>タイプ神秘・知性派の攻40％UP　/　タイプ偉人・名物・飲食の攻35％UP</t>
  </si>
  <si>
    <t>タイプ飲食・知性派・妖怪の防40％UP　/　タイプ【神秘】の防35％UP</t>
  </si>
  <si>
    <t>タイプ【神秘】の攻50％UP　/　タイプ知性派・飲食の攻25％UP</t>
  </si>
  <si>
    <t>タイプ武人・姫の攻100％DOWN　/　タイプ偉人・名物の防20％UP</t>
  </si>
  <si>
    <t>タイプ伝承・武人・姫の攻30％UP　/　タイプ偉人・飲食・武人・名物の防13％DOWN</t>
  </si>
  <si>
    <t>タイプ偉人・神秘の防50％UP　/　タイプ知性派・飲食の防30％UP</t>
  </si>
  <si>
    <t>タイプ伝承・武人・姫の防15％UP　/　タイプ名物・知性派・飲食・神秘の攻25％DOWN</t>
  </si>
  <si>
    <t>タイプ武人・伝承の防40％DOWN　/　タイプ妖怪・名物の攻10％UP</t>
  </si>
  <si>
    <t>タイプ神秘・飲食・伝承の攻35％UP　/　タイプ【知性派】の攻12％UP</t>
  </si>
  <si>
    <t>タイプ武人・伝承の防100％DOWN　/　タイプ偉人・名物の攻20％UP</t>
  </si>
  <si>
    <t>タイプ神秘・知性派・飲食の防40％UP　/　タイプ神秘・知性派・飲食の攻10％DOWN</t>
  </si>
  <si>
    <t>タイプ【神秘】の攻75％UP　/　タイプ知性派・飲食の攻30％UP</t>
  </si>
  <si>
    <t>タイプ【神秘】の防45％UP　/　タイプ知性派・飲食の防20％UP</t>
  </si>
  <si>
    <t>タイプ姫・伝承の防30％UP　/　タイプ【武人】の防20％UP</t>
  </si>
  <si>
    <t>タイプ伝承・武人・姫の攻15％UP　/　タイプ偉人・妖怪の防15％DOWN</t>
  </si>
  <si>
    <t>タイプ姫・伝承の防12％UP　/　タイプ【武人】の防10％UP</t>
  </si>
  <si>
    <t>タイプ偉人・名物の防30％UP　/　タイプ【妖怪】の防40％UP</t>
  </si>
  <si>
    <t>タイプ偉人・名物の攻45％UP　/　タイプ【妖怪】の攻15％UP</t>
  </si>
  <si>
    <t>タイプ偉人・妖怪の防35％UP　/　タイプ【名物】の防12％UP</t>
  </si>
  <si>
    <t>タイプ妖怪・名物の防30％UP　/　タイプ【偉人】の防15％UP</t>
  </si>
  <si>
    <t>タイプ神秘・知性派・偉人の攻35％UP　/　タイプ【飲食】の攻12％UP</t>
  </si>
  <si>
    <t>タイプ神秘・知性派・飲食の攻25％UP　/　タイプ神秘・知性派・飲食の防30％DOWN</t>
  </si>
  <si>
    <t>タイプ偉人・妖怪・名物の防35％DOWN　/　タイプ神秘・知性派・飲食の防12％DOWN</t>
  </si>
  <si>
    <t>タイプ神秘・知性派・飲食の防20％UP　/　タイプ姫・伝承の攻10％DOWN</t>
  </si>
  <si>
    <t>タイプ神秘・知性派・飲食の攻20％UP　/　タイプ武人・姫の防10％DOWN</t>
  </si>
  <si>
    <t>タイプ【武人】の防50％UP　/　タイプ姫・伝承の防25％UP</t>
  </si>
  <si>
    <t>タイプ【武人】の攻50％UP　/　タイプ伝承・姫・偉人・名物・妖怪の攻25％UP</t>
  </si>
  <si>
    <t>タイプ伝承・武人・姫の攻15％UP　/　タイプ神秘・飲食・知性派・武人の防15％DOWN</t>
  </si>
  <si>
    <t>タイプ名物・偉人・神秘の攻40％UP　/　タイプ【妖怪】の攻12％UP</t>
  </si>
  <si>
    <t>タイプ偉人・妖怪の攻40％DOWN　/　タイプ妖怪・名物の防10％UP</t>
  </si>
  <si>
    <t>タイプ妖怪・名物の攻30％UP　/　タイプ【偉人】の攻15％UP</t>
  </si>
  <si>
    <t>タイプ名物・妖怪・神秘の防35％UP　/　タイプ【偉人】の防12％UP</t>
  </si>
  <si>
    <t>タイプ伝承・武人・姫の防25％DOWN　/　タイプ知性派・飲食の攻10％UP</t>
  </si>
  <si>
    <t>タイプ偉人・名物・神秘・飲食の攻40％UP　/　タイプ【妖怪】の攻35％UP</t>
  </si>
  <si>
    <t>タイプ偉人・妖怪の攻25％UP　/　タイプ【名物】の攻10％UP</t>
  </si>
  <si>
    <t>タイプ名物・妖怪・姫の攻40％UP　/　タイプ【偉人】の攻15％UP</t>
  </si>
  <si>
    <t>レインボーカキ氷ちゃん</t>
    <phoneticPr fontId="3"/>
  </si>
  <si>
    <t>16+13+(14+13),11,11,12</t>
    <phoneticPr fontId="3"/>
  </si>
  <si>
    <t>15+11+12</t>
    <phoneticPr fontId="3"/>
  </si>
  <si>
    <t>【博多どんたく】速水宗青</t>
  </si>
  <si>
    <t>はかたどんたくはやみそうせい</t>
    <phoneticPr fontId="3"/>
  </si>
  <si>
    <t>楽しい踊り</t>
    <phoneticPr fontId="3"/>
  </si>
  <si>
    <t>タイプ【名物】の防75％UP　/　タイプ偉人・妖怪の防30％UP</t>
    <phoneticPr fontId="3"/>
  </si>
  <si>
    <t>24,</t>
    <phoneticPr fontId="3"/>
  </si>
  <si>
    <t>タイプ武人・姫・知性派・飲食の防40％UP　/　タイプ【伝承】の防50％UP</t>
    <rPh sb="8" eb="10">
      <t>チセイ</t>
    </rPh>
    <rPh sb="10" eb="11">
      <t>ハ</t>
    </rPh>
    <rPh sb="12" eb="14">
      <t>インショク</t>
    </rPh>
    <phoneticPr fontId="3"/>
  </si>
  <si>
    <t>18+15+(17+16),12,13,14,18</t>
    <phoneticPr fontId="3"/>
  </si>
  <si>
    <t>タイプ姫・伝承の防35％UP　/　タイプ伝承・武人・姫の攻12％DOWN</t>
    <phoneticPr fontId="3"/>
  </si>
  <si>
    <t>タイプ姫・伝承の防30％UP　/　タイプ名物・妖怪・飲食の攻12％DOWN</t>
    <phoneticPr fontId="3"/>
  </si>
  <si>
    <t>1・2進の隊士名に【氷閉夢】は付かない</t>
    <rPh sb="3" eb="4">
      <t>シン</t>
    </rPh>
    <rPh sb="5" eb="7">
      <t>タイシ</t>
    </rPh>
    <rPh sb="7" eb="8">
      <t>メイ</t>
    </rPh>
    <rPh sb="15" eb="16">
      <t>ツ</t>
    </rPh>
    <phoneticPr fontId="3"/>
  </si>
  <si>
    <t>東or西日本→全国(3進)になる隊士群</t>
    <rPh sb="0" eb="1">
      <t>ヒガシ</t>
    </rPh>
    <rPh sb="3" eb="4">
      <t>ニシ</t>
    </rPh>
    <rPh sb="4" eb="6">
      <t>ニホン</t>
    </rPh>
    <rPh sb="7" eb="9">
      <t>ゼンコク</t>
    </rPh>
    <rPh sb="11" eb="12">
      <t>シン</t>
    </rPh>
    <rPh sb="16" eb="18">
      <t>タイシ</t>
    </rPh>
    <rPh sb="18" eb="19">
      <t>グン</t>
    </rPh>
    <phoneticPr fontId="3"/>
  </si>
  <si>
    <t>【浴衣】阿南姫</t>
    <phoneticPr fontId="3"/>
  </si>
  <si>
    <t>2020/10/15 12:00～2020/12/15 11:59</t>
    <phoneticPr fontId="3"/>
  </si>
  <si>
    <t>2018/06防衛戦</t>
    <rPh sb="7" eb="10">
      <t>ボウエイセン</t>
    </rPh>
    <phoneticPr fontId="3"/>
  </si>
  <si>
    <t>2018/06龍神杯</t>
    <phoneticPr fontId="3"/>
  </si>
  <si>
    <t>2018/06サイコロ</t>
    <phoneticPr fontId="3"/>
  </si>
  <si>
    <t>2018/06四神戦</t>
    <rPh sb="7" eb="8">
      <t>ヨッツ</t>
    </rPh>
    <rPh sb="8" eb="9">
      <t>シン</t>
    </rPh>
    <rPh sb="9" eb="10">
      <t>セン</t>
    </rPh>
    <phoneticPr fontId="3"/>
  </si>
  <si>
    <t>三井財閥中興の祖</t>
    <phoneticPr fontId="3"/>
  </si>
  <si>
    <t>みのむらりざえもん</t>
    <phoneticPr fontId="3"/>
  </si>
  <si>
    <t>三野村利左衛門</t>
    <phoneticPr fontId="3"/>
  </si>
  <si>
    <t>タイプ【伝承】の防30％UP　/　タイプ武人・姫の防15％UP</t>
    <phoneticPr fontId="3"/>
  </si>
  <si>
    <t>黄金一錠</t>
    <phoneticPr fontId="3"/>
  </si>
  <si>
    <t>仙石秀久</t>
    <phoneticPr fontId="3"/>
  </si>
  <si>
    <t>せんごくひでひさ</t>
    <phoneticPr fontId="3"/>
  </si>
  <si>
    <t>タイプ神秘・知性派の攻45％UP　/　タイプ【飲食】の攻15％UP</t>
    <phoneticPr fontId="3"/>
  </si>
  <si>
    <t>幕末グルメを召しあがれ</t>
    <phoneticPr fontId="3"/>
  </si>
  <si>
    <t>すきやきちゃん</t>
    <phoneticPr fontId="3"/>
  </si>
  <si>
    <t>すき焼きちゃん</t>
    <phoneticPr fontId="3"/>
  </si>
  <si>
    <t>タイプ偉人・妖怪・名物の攻35％UP　/　タイプ偉人・妖怪・名物の防10％DOWN</t>
    <phoneticPr fontId="3"/>
  </si>
  <si>
    <t>伝統繋ぐ侘び寂びの趣</t>
    <phoneticPr fontId="3"/>
  </si>
  <si>
    <t>しがらきやき</t>
    <phoneticPr fontId="3"/>
  </si>
  <si>
    <t>信楽焼</t>
    <phoneticPr fontId="3"/>
  </si>
  <si>
    <t>15(↑3進後18・古豪ガチャ)+11+(15+15),14(復活チケ),14(復活チケ)</t>
    <phoneticPr fontId="3"/>
  </si>
  <si>
    <t>予10+竜+10</t>
    <rPh sb="4" eb="5">
      <t>リュウ</t>
    </rPh>
    <phoneticPr fontId="3"/>
  </si>
  <si>
    <t>15+11+13,10</t>
    <phoneticPr fontId="3"/>
  </si>
  <si>
    <t>15(↑20古豪戦傑ガチャ)+12+(14+13),11</t>
    <phoneticPr fontId="3"/>
  </si>
  <si>
    <t>16+11+(13+11),10,10</t>
    <phoneticPr fontId="3"/>
  </si>
  <si>
    <t>19+14+(16+16),12,13,竜,竜</t>
    <phoneticPr fontId="3"/>
  </si>
  <si>
    <t>17(↑3進後19)+15+(16+15),12,14,15,19</t>
    <rPh sb="5" eb="6">
      <t>シン</t>
    </rPh>
    <rPh sb="6" eb="7">
      <t>ゴ</t>
    </rPh>
    <phoneticPr fontId="3"/>
  </si>
  <si>
    <t>14+12+(13+13),10,10,10</t>
    <phoneticPr fontId="3"/>
  </si>
  <si>
    <t>17+16+17</t>
    <phoneticPr fontId="3"/>
  </si>
  <si>
    <t>15+12+(14+14),10,10,13,10</t>
    <phoneticPr fontId="3"/>
  </si>
  <si>
    <t>14+13+(13+13),11,13</t>
    <phoneticPr fontId="3"/>
  </si>
  <si>
    <t>15+13+(14+14),10</t>
    <phoneticPr fontId="3"/>
  </si>
  <si>
    <t>15+11+(14+13),10,11,13</t>
    <phoneticPr fontId="3"/>
  </si>
  <si>
    <t>● 防DOWN系</t>
    <rPh sb="2" eb="3">
      <t>ボウ</t>
    </rPh>
    <rPh sb="7" eb="8">
      <t>ケイ</t>
    </rPh>
    <phoneticPr fontId="3"/>
  </si>
  <si>
    <t>● 攻DOWN系</t>
    <rPh sb="2" eb="3">
      <t>コウ</t>
    </rPh>
    <rPh sb="7" eb="8">
      <t>ケイ</t>
    </rPh>
    <phoneticPr fontId="3"/>
  </si>
  <si>
    <t>引10</t>
  </si>
  <si>
    <t>25+22+25,竜,竜,竜,竜 25+19+25,竜,竜</t>
    <rPh sb="9" eb="10">
      <t>リュウ</t>
    </rPh>
    <phoneticPr fontId="3"/>
  </si>
  <si>
    <t>ガチャ 2018/7/12, 8/18, 11/11, 12/25, 2019/1/28, 2/17, 4/6, 9/12, 2020/11/17</t>
    <phoneticPr fontId="3"/>
  </si>
  <si>
    <t>14+11+(14+14),10,11</t>
    <phoneticPr fontId="3"/>
  </si>
  <si>
    <t>18+14+(15+15),12,13,14</t>
    <phoneticPr fontId="3"/>
  </si>
  <si>
    <t>18+14+16,11,11</t>
    <phoneticPr fontId="3"/>
  </si>
  <si>
    <t>18+16+18,11,12</t>
    <phoneticPr fontId="3"/>
  </si>
  <si>
    <t>15+竜+12</t>
    <rPh sb="3" eb="4">
      <t>リュウ</t>
    </rPh>
    <phoneticPr fontId="3"/>
  </si>
  <si>
    <t>18+15+18,14,15</t>
    <phoneticPr fontId="3"/>
  </si>
  <si>
    <t>20+15+(16+15),12,12,16,18</t>
    <phoneticPr fontId="3"/>
  </si>
  <si>
    <t>20+16+18,12,15,15,15</t>
    <phoneticPr fontId="3"/>
  </si>
  <si>
    <t>15+14+15,14</t>
    <phoneticPr fontId="3"/>
  </si>
  <si>
    <t>【ブラジル】蝶化身</t>
  </si>
  <si>
    <t>ぶらじるちょうけしん</t>
    <phoneticPr fontId="3"/>
  </si>
  <si>
    <t>16+13+14</t>
    <phoneticPr fontId="3"/>
  </si>
  <si>
    <t>浮遊する絶景の丘</t>
    <phoneticPr fontId="3"/>
  </si>
  <si>
    <t>タイプ偉人・名物・姫の防40％UP　/　タイプ【妖怪】の防35％UP</t>
  </si>
  <si>
    <t>引10倉1</t>
    <phoneticPr fontId="3"/>
  </si>
  <si>
    <t>引17</t>
    <phoneticPr fontId="3"/>
  </si>
  <si>
    <t>引17倉1</t>
    <phoneticPr fontId="3"/>
  </si>
  <si>
    <t>同盟戦 2021年1月,2月,3月</t>
    <rPh sb="0" eb="2">
      <t>ドウメイ</t>
    </rPh>
    <rPh sb="2" eb="3">
      <t>セン</t>
    </rPh>
    <rPh sb="10" eb="11">
      <t>ガツ</t>
    </rPh>
    <rPh sb="13" eb="14">
      <t>ガツ</t>
    </rPh>
    <rPh sb="16" eb="17">
      <t>ガツ</t>
    </rPh>
    <phoneticPr fontId="3"/>
  </si>
  <si>
    <t>バイオリニスト・スル</t>
    <phoneticPr fontId="3"/>
  </si>
  <si>
    <t>デウスエクスマシナ</t>
    <phoneticPr fontId="3"/>
  </si>
  <si>
    <t>英雄候補生アシュラム</t>
    <phoneticPr fontId="3"/>
  </si>
  <si>
    <t>ピディリア</t>
    <phoneticPr fontId="3"/>
  </si>
  <si>
    <t>砂糖菓子の魔女シュクル</t>
    <phoneticPr fontId="3"/>
  </si>
  <si>
    <t>サンドリザード</t>
    <phoneticPr fontId="3"/>
  </si>
  <si>
    <t>タイプ神秘・飲食の防45％UP　/　所属が【北海道・東北】とそれに属する県、および【全国】【東日本】の防30％UP</t>
    <phoneticPr fontId="3"/>
  </si>
  <si>
    <t>メロディの行方</t>
    <phoneticPr fontId="3"/>
  </si>
  <si>
    <t>ばいおりにすとする</t>
    <phoneticPr fontId="3"/>
  </si>
  <si>
    <t>でうすえくすましな</t>
    <phoneticPr fontId="3"/>
  </si>
  <si>
    <t>えいゆうこうほせいあしゅらむ</t>
    <phoneticPr fontId="3"/>
  </si>
  <si>
    <t>ぴでぃりあ</t>
    <phoneticPr fontId="3"/>
  </si>
  <si>
    <t>さとうがしのまじょしゅくる</t>
    <phoneticPr fontId="3"/>
  </si>
  <si>
    <t>さんどりざーど</t>
    <phoneticPr fontId="3"/>
  </si>
  <si>
    <t>禁忌の干渉者</t>
    <phoneticPr fontId="3"/>
  </si>
  <si>
    <t>英雄の卵</t>
    <phoneticPr fontId="3"/>
  </si>
  <si>
    <t>魅惑の華</t>
    <phoneticPr fontId="3"/>
  </si>
  <si>
    <t>一粒からの幸せ</t>
    <phoneticPr fontId="3"/>
  </si>
  <si>
    <t>砂中の暗殺者</t>
    <phoneticPr fontId="3"/>
  </si>
  <si>
    <t>タイプ妖怪・名物の防45％UP　/　所属が【関東】とそれに属する県、および【全国】【東日本】の防30％UP</t>
    <phoneticPr fontId="3"/>
  </si>
  <si>
    <t>タイプ姫・伝承の攻45％UP　/　所属が【中部】とそれに属する県、および【全国】【東日本】の攻30％UP</t>
    <phoneticPr fontId="3"/>
  </si>
  <si>
    <t>タイプ武人・伝承の攻45％UP　/　所属が【近畿】とそれに属する県、および【全国】【西日本】の攻30％UP</t>
    <phoneticPr fontId="3"/>
  </si>
  <si>
    <t>タイプ神秘・知性派の攻45％UP　/　所属が【中国・四国】とそれに属する県、および【全国】【西日本】の攻30％UP</t>
    <phoneticPr fontId="3"/>
  </si>
  <si>
    <t>タイプ偉人・名物の防45％UP　/　所属が【九州・沖縄】とそれに属する県、および【全国】【西日本】の防30％UP</t>
    <phoneticPr fontId="3"/>
  </si>
  <si>
    <t>2020/06/15 12:00～2020/08/15 11:59</t>
    <phoneticPr fontId="3"/>
  </si>
  <si>
    <t>2018/06/15 12:00～2018/08/15 11:59</t>
    <phoneticPr fontId="3"/>
  </si>
  <si>
    <t>2019/12/15 12:00～2020/02/15 11:59</t>
    <phoneticPr fontId="3"/>
  </si>
  <si>
    <t>2020/02/15 12:00～2020/04/15 11:59</t>
    <phoneticPr fontId="3"/>
  </si>
  <si>
    <t>2020/08/15 12:00～2020/10/15 11:59</t>
    <phoneticPr fontId="3"/>
  </si>
  <si>
    <t>2020/12/15 12:00～2021/02/15 11:59</t>
    <phoneticPr fontId="3"/>
  </si>
  <si>
    <t>2018/07防衛戦</t>
    <rPh sb="7" eb="10">
      <t>ボウエイセン</t>
    </rPh>
    <phoneticPr fontId="3"/>
  </si>
  <si>
    <t>2018/07龍神杯</t>
    <phoneticPr fontId="3"/>
  </si>
  <si>
    <t>2018/07サイコロ</t>
    <phoneticPr fontId="3"/>
  </si>
  <si>
    <t>2018/07四神戦</t>
    <rPh sb="7" eb="8">
      <t>ヨッツ</t>
    </rPh>
    <rPh sb="8" eb="9">
      <t>シン</t>
    </rPh>
    <rPh sb="9" eb="10">
      <t>セン</t>
    </rPh>
    <phoneticPr fontId="3"/>
  </si>
  <si>
    <t>深泥ヶ池</t>
    <phoneticPr fontId="3"/>
  </si>
  <si>
    <t>【七夕】蝶化身</t>
    <phoneticPr fontId="3"/>
  </si>
  <si>
    <t>問田大方</t>
    <phoneticPr fontId="3"/>
  </si>
  <si>
    <t>貧乏神と福の神</t>
    <phoneticPr fontId="3"/>
  </si>
  <si>
    <t>タイプ神秘・知性派・飲食の防35％UP　/　タイプ伝承・武人・姫の攻10％DOWN</t>
    <phoneticPr fontId="3"/>
  </si>
  <si>
    <t>女幽霊が彷徨える池</t>
    <phoneticPr fontId="3"/>
  </si>
  <si>
    <t>みどろがいけ</t>
    <phoneticPr fontId="3"/>
  </si>
  <si>
    <t>タイプ伝承・武人・姫の防60％DOWN　/　タイプ偉人・妖怪・名物の攻20％UP</t>
    <phoneticPr fontId="3"/>
  </si>
  <si>
    <t>天の川にかかる胡蝶の夢</t>
    <phoneticPr fontId="3"/>
  </si>
  <si>
    <t>たなばたちょうけしん</t>
    <phoneticPr fontId="3"/>
  </si>
  <si>
    <t>タイプ伝承・武人・姫の防40％UP</t>
    <phoneticPr fontId="3"/>
  </si>
  <si>
    <t>仲睦まじき夫婦仲</t>
    <phoneticPr fontId="3"/>
  </si>
  <si>
    <t>といだのおおかた</t>
    <phoneticPr fontId="3"/>
  </si>
  <si>
    <t>タイプ伝承・武人・姫の攻30％UP　/　タイプ名物・知性派・飲食・神秘の防13％DOWN</t>
    <phoneticPr fontId="3"/>
  </si>
  <si>
    <t>貧富の差を超える神々の戦い</t>
    <phoneticPr fontId="3"/>
  </si>
  <si>
    <t>びんぼうがみとふくのかみ</t>
    <phoneticPr fontId="3"/>
  </si>
  <si>
    <t>15+13+(14+14)</t>
    <phoneticPr fontId="3"/>
  </si>
  <si>
    <t>15+12+(14+13),11,11</t>
    <phoneticPr fontId="3"/>
  </si>
  <si>
    <t>16(↑3進後18:古豪ガチャ)+12+(15+15)</t>
    <phoneticPr fontId="3"/>
  </si>
  <si>
    <t>ガチャ 2020/3/3, 4/3, 5/7, 5/28, 6/21, 7/12, 8/7, 9/23, 10/27, 11/30</t>
    <phoneticPr fontId="3"/>
  </si>
  <si>
    <t>海難法師</t>
    <phoneticPr fontId="3"/>
  </si>
  <si>
    <t>2021/02/15 12:00～2021/04/15 11:59</t>
    <phoneticPr fontId="3"/>
  </si>
  <si>
    <t>タイプ武人・伝承の防90％DOWN　/　タイプ偉人・名物の攻30％UP</t>
    <phoneticPr fontId="3"/>
  </si>
  <si>
    <t>水難の怨み</t>
    <phoneticPr fontId="3"/>
  </si>
  <si>
    <t>かいなんほうし</t>
    <phoneticPr fontId="3"/>
  </si>
  <si>
    <t>タイプ神秘・知性派・飲食の攻40％UP　/　タイプ偉人・妖怪・名物の防10％DOWN</t>
    <phoneticPr fontId="3"/>
  </si>
  <si>
    <t>翼よ、我と共に！</t>
    <phoneticPr fontId="3"/>
  </si>
  <si>
    <t>ひょうどうただし</t>
    <phoneticPr fontId="3"/>
  </si>
  <si>
    <t>兵頭精</t>
    <phoneticPr fontId="3"/>
  </si>
  <si>
    <t>タイプ偉人・妖怪・名物の防35％UP　/　タイプ伝承・武人・姫の攻10％DOWN</t>
    <phoneticPr fontId="3"/>
  </si>
  <si>
    <t>夏の夜に彩りを</t>
    <phoneticPr fontId="3"/>
  </si>
  <si>
    <t>えんにちなんぶひめまり</t>
    <phoneticPr fontId="3"/>
  </si>
  <si>
    <t>【縁日】南部姫鞠</t>
    <phoneticPr fontId="3"/>
  </si>
  <si>
    <t>タイプ伝承・武人・姫の攻80％DOWN　/　タイプ知性派・飲食の防25％UP</t>
    <phoneticPr fontId="3"/>
  </si>
  <si>
    <t>鏡作の遠祖</t>
    <phoneticPr fontId="3"/>
  </si>
  <si>
    <t>あめのぬかどのみこと</t>
    <phoneticPr fontId="3"/>
  </si>
  <si>
    <t>天糠戸命</t>
    <phoneticPr fontId="3"/>
  </si>
  <si>
    <t>2018/08防衛戦</t>
    <rPh sb="7" eb="10">
      <t>ボウエイセン</t>
    </rPh>
    <phoneticPr fontId="3"/>
  </si>
  <si>
    <t>2018/08四神戦</t>
    <rPh sb="7" eb="8">
      <t>ヨッツ</t>
    </rPh>
    <rPh sb="8" eb="9">
      <t>シン</t>
    </rPh>
    <rPh sb="9" eb="10">
      <t>セン</t>
    </rPh>
    <phoneticPr fontId="3"/>
  </si>
  <si>
    <t>2018/08全国巡り</t>
    <rPh sb="7" eb="9">
      <t>ゼンコク</t>
    </rPh>
    <rPh sb="9" eb="10">
      <t>メグ</t>
    </rPh>
    <phoneticPr fontId="3"/>
  </si>
  <si>
    <t>2018/08サイコロ</t>
    <phoneticPr fontId="3"/>
  </si>
  <si>
    <t>16+13+(15+15),14(復活チケ),14(復活チケ)</t>
    <phoneticPr fontId="3"/>
  </si>
  <si>
    <t>18+14+(17+15),11,11,11,13</t>
    <phoneticPr fontId="3"/>
  </si>
  <si>
    <t>20+15+(17+絶大),(10+竜+竜)</t>
    <phoneticPr fontId="3"/>
  </si>
  <si>
    <t>ビワコオオナマズちゃん</t>
    <phoneticPr fontId="3"/>
  </si>
  <si>
    <t>六角義賢</t>
    <phoneticPr fontId="3"/>
  </si>
  <si>
    <t>種子島宇宙センター</t>
    <phoneticPr fontId="3"/>
  </si>
  <si>
    <t>ガチャ 2018/7/8, 8/31, 11/17, 2019/2/6, 5/6, 6/12, 8/12, 2020/12/28</t>
    <phoneticPr fontId="3"/>
  </si>
  <si>
    <t>悪を貫く槍</t>
    <phoneticPr fontId="3"/>
  </si>
  <si>
    <t>タイプ姫・伝承の攻50％UP　/　所属が【関東】とそれに属する県、および【全国】【東日本】の攻30％UP</t>
    <phoneticPr fontId="3"/>
  </si>
  <si>
    <t>正義の神判</t>
    <phoneticPr fontId="3"/>
  </si>
  <si>
    <t>タイプ知性派・飲食の防50％UP　/　所属が【中部】とそれに属する県、および【全国】【東日本】の防30％UP</t>
    <phoneticPr fontId="3"/>
  </si>
  <si>
    <t>ジャグランスグロー</t>
    <phoneticPr fontId="3"/>
  </si>
  <si>
    <t>タイプ偉人・妖怪の防50％UP　/　所属が【近畿】とそれに属する県、および【全国】【西日本】の防30％UP</t>
    <phoneticPr fontId="3"/>
  </si>
  <si>
    <t>アクアバースト</t>
    <phoneticPr fontId="3"/>
  </si>
  <si>
    <t>タイプ妖怪・名物の防50％UP　/　所属が【中国・四国】とそれに属する県、および【全国】【西日本】の防30％UP</t>
    <phoneticPr fontId="3"/>
  </si>
  <si>
    <t>古樹の真言</t>
    <phoneticPr fontId="3"/>
  </si>
  <si>
    <t>タイプ神秘・飲食の攻50％UP　/　所属が【九州・沖縄】とそれに属する県、および【全国】【西日本】の攻30％UP</t>
    <phoneticPr fontId="3"/>
  </si>
  <si>
    <t>フォーキャスト</t>
    <phoneticPr fontId="3"/>
  </si>
  <si>
    <t>タイプ武人・姫の防50％UP　/　所属が【北海道・東北】とそれに属する県、および【全国】【東日本】の防30％UP</t>
    <phoneticPr fontId="3"/>
  </si>
  <si>
    <t>災星の神官ソプデト</t>
    <phoneticPr fontId="3"/>
  </si>
  <si>
    <t>さいせいのしんかんそぷでと</t>
    <phoneticPr fontId="3"/>
  </si>
  <si>
    <t>光炯のオーディン</t>
    <phoneticPr fontId="3"/>
  </si>
  <si>
    <t>こうけいのおーでぃん</t>
    <phoneticPr fontId="3"/>
  </si>
  <si>
    <t>ユースティティア</t>
    <phoneticPr fontId="3"/>
  </si>
  <si>
    <t>ゆーすてぃてぃあ</t>
    <phoneticPr fontId="3"/>
  </si>
  <si>
    <t>カリュアー</t>
    <phoneticPr fontId="3"/>
  </si>
  <si>
    <t>かりゅあー</t>
    <phoneticPr fontId="3"/>
  </si>
  <si>
    <t>パリアカカ</t>
    <phoneticPr fontId="3"/>
  </si>
  <si>
    <t>ぱりあかか</t>
    <phoneticPr fontId="3"/>
  </si>
  <si>
    <t>黒い森のヘクセ</t>
    <phoneticPr fontId="3"/>
  </si>
  <si>
    <t>くろいもりのへくせ</t>
    <phoneticPr fontId="3"/>
  </si>
  <si>
    <t>同盟戦 2021年4月,5月,6月</t>
    <rPh sb="0" eb="2">
      <t>ドウメイ</t>
    </rPh>
    <rPh sb="2" eb="3">
      <t>セン</t>
    </rPh>
    <rPh sb="8" eb="9">
      <t>ネン</t>
    </rPh>
    <rPh sb="10" eb="11">
      <t>ガツ</t>
    </rPh>
    <rPh sb="13" eb="14">
      <t>ガツ</t>
    </rPh>
    <rPh sb="16" eb="17">
      <t>ガツ</t>
    </rPh>
    <phoneticPr fontId="3"/>
  </si>
  <si>
    <t>40%→45%→50%, 30%, 130%→140%</t>
    <phoneticPr fontId="3"/>
  </si>
  <si>
    <t>45%, 30%, 130%→140%</t>
    <phoneticPr fontId="3"/>
  </si>
  <si>
    <t>40%, 30%, 130%→140%</t>
    <phoneticPr fontId="3"/>
  </si>
  <si>
    <t>40%, 30%, 130%</t>
    <phoneticPr fontId="3"/>
  </si>
  <si>
    <r>
      <t>4</t>
    </r>
    <r>
      <rPr>
        <sz val="11"/>
        <color theme="1"/>
        <rFont val="Yu Gothic"/>
        <family val="3"/>
        <charset val="128"/>
        <scheme val="minor"/>
      </rPr>
      <t>0%, 30%, 120%→130%</t>
    </r>
    <phoneticPr fontId="3"/>
  </si>
  <si>
    <r>
      <t>4</t>
    </r>
    <r>
      <rPr>
        <sz val="11"/>
        <color theme="1"/>
        <rFont val="Yu Gothic"/>
        <family val="3"/>
        <charset val="128"/>
        <scheme val="minor"/>
      </rPr>
      <t>0%, 30%, 120%</t>
    </r>
    <phoneticPr fontId="3"/>
  </si>
  <si>
    <r>
      <t>4</t>
    </r>
    <r>
      <rPr>
        <sz val="11"/>
        <color theme="1"/>
        <rFont val="Yu Gothic"/>
        <family val="3"/>
        <charset val="128"/>
        <scheme val="minor"/>
      </rPr>
      <t>0%, 25%, 120%</t>
    </r>
    <phoneticPr fontId="3"/>
  </si>
  <si>
    <t>35%, 25%, 100%→120%</t>
    <phoneticPr fontId="3"/>
  </si>
  <si>
    <t>35%, 25%, 100%</t>
    <phoneticPr fontId="3"/>
  </si>
  <si>
    <t>同盟戦 記録なし</t>
    <rPh sb="4" eb="6">
      <t>キロク</t>
    </rPh>
    <phoneticPr fontId="3"/>
  </si>
  <si>
    <t>24+17+(22+19),15,16,17,(19+竜+13,15)</t>
    <phoneticPr fontId="3"/>
  </si>
  <si>
    <t>ササニシキ</t>
    <phoneticPr fontId="3"/>
  </si>
  <si>
    <t>20,15,14</t>
    <phoneticPr fontId="3"/>
  </si>
  <si>
    <t>2021/04/15 12:00～2021/06/15 11:59</t>
    <phoneticPr fontId="3"/>
  </si>
  <si>
    <t>2018/09サイコロ</t>
    <phoneticPr fontId="3"/>
  </si>
  <si>
    <t>2018/09天下統一戦</t>
    <rPh sb="7" eb="9">
      <t>テンカ</t>
    </rPh>
    <rPh sb="9" eb="11">
      <t>トウイツ</t>
    </rPh>
    <rPh sb="11" eb="12">
      <t>セン</t>
    </rPh>
    <phoneticPr fontId="3"/>
  </si>
  <si>
    <t>2021/06/15 12:00～2021/08/15 11:59</t>
    <phoneticPr fontId="3"/>
  </si>
  <si>
    <t>タイプ伝承・武人・姫の防30％UP　/　タイプ武人・姫・伝承・飲食の攻13％DOWN</t>
    <phoneticPr fontId="3"/>
  </si>
  <si>
    <t>太神之神楽</t>
    <phoneticPr fontId="3"/>
  </si>
  <si>
    <t>くまのじんじゃのかみまい</t>
    <phoneticPr fontId="3"/>
  </si>
  <si>
    <t>熊野神社の神舞</t>
    <phoneticPr fontId="3"/>
  </si>
  <si>
    <t>タイプ神秘・飲食の攻90％DOWN　/　タイプ偉人・妖怪・名物の防15％UP</t>
    <phoneticPr fontId="3"/>
  </si>
  <si>
    <t>油の海</t>
    <phoneticPr fontId="3"/>
  </si>
  <si>
    <t>あぶらあかご</t>
    <phoneticPr fontId="3"/>
  </si>
  <si>
    <t>油赤子</t>
    <phoneticPr fontId="3"/>
  </si>
  <si>
    <t>タイプ伝承・武人・姫の防80％DOWN　/　タイプ知性派・飲食の攻25％UP</t>
    <phoneticPr fontId="3"/>
  </si>
  <si>
    <t>天下の全てを見通す者</t>
    <phoneticPr fontId="3"/>
  </si>
  <si>
    <t>くえびこ</t>
    <phoneticPr fontId="3"/>
  </si>
  <si>
    <t>久延毘古</t>
    <phoneticPr fontId="3"/>
  </si>
  <si>
    <t>タイプ姫・伝承の攻25％UP　/　タイプ【武人】の攻10％UP</t>
    <phoneticPr fontId="3"/>
  </si>
  <si>
    <t>会津の烈女</t>
    <phoneticPr fontId="3"/>
  </si>
  <si>
    <t>つきみざけなかのたけこ</t>
    <phoneticPr fontId="3"/>
  </si>
  <si>
    <t>【月見酒】中野竹子</t>
    <phoneticPr fontId="3"/>
  </si>
  <si>
    <t>タイプ神秘・知性派・飲食の防40％UP　/　タイプ伝承・武人・姫の攻10％DOWN</t>
    <phoneticPr fontId="3"/>
  </si>
  <si>
    <t>戸隠流忍術</t>
    <phoneticPr fontId="3"/>
  </si>
  <si>
    <t>しのびにしなだいすけ</t>
    <phoneticPr fontId="3"/>
  </si>
  <si>
    <t>【SHINOBI】仁科大助</t>
    <phoneticPr fontId="3"/>
  </si>
  <si>
    <t>鮒の毒</t>
    <phoneticPr fontId="3"/>
  </si>
  <si>
    <t>ふなにょうぼう</t>
    <phoneticPr fontId="3"/>
  </si>
  <si>
    <t>鮒女房</t>
    <phoneticPr fontId="3"/>
  </si>
  <si>
    <t>タイプ偉人・妖怪・名物の攻35％UP　/　タイプ伝承・武人・姫の防15％DOWN</t>
    <phoneticPr fontId="3"/>
  </si>
  <si>
    <t>満開のマーガレット</t>
    <phoneticPr fontId="3"/>
  </si>
  <si>
    <t>ふらわーぱーくうらしま</t>
    <phoneticPr fontId="3"/>
  </si>
  <si>
    <t>フラワーパーク浦島</t>
    <phoneticPr fontId="3"/>
  </si>
  <si>
    <t>タイプ【武人】の防85％UP　/　タイプ姫・伝承の防25％UP</t>
    <phoneticPr fontId="3"/>
  </si>
  <si>
    <t>癒しで勝利を手繰り寄せ</t>
    <phoneticPr fontId="3"/>
  </si>
  <si>
    <t>ゆけむりおあいのかた</t>
    <phoneticPr fontId="3"/>
  </si>
  <si>
    <t>【湯けむり】お愛の方</t>
    <phoneticPr fontId="3"/>
  </si>
  <si>
    <t>2018/09防衛戦</t>
    <phoneticPr fontId="3"/>
  </si>
  <si>
    <t>19+15+(17+15),18(太陽と海の福引ガチャ)</t>
    <phoneticPr fontId="3"/>
  </si>
  <si>
    <t>2018/10防衛戦</t>
    <phoneticPr fontId="3"/>
  </si>
  <si>
    <t>2018/09四神戦</t>
    <phoneticPr fontId="3"/>
  </si>
  <si>
    <t>2018/10全国巡り</t>
    <rPh sb="7" eb="9">
      <t>ゼンコク</t>
    </rPh>
    <rPh sb="9" eb="10">
      <t>メグ</t>
    </rPh>
    <phoneticPr fontId="3"/>
  </si>
  <si>
    <t>2018/10サイコロ</t>
    <phoneticPr fontId="3"/>
  </si>
  <si>
    <t>20+13+(17+16),15</t>
    <phoneticPr fontId="3"/>
  </si>
  <si>
    <t>2018/10四神戦</t>
    <phoneticPr fontId="3"/>
  </si>
  <si>
    <t>引14</t>
  </si>
  <si>
    <t>引14</t>
    <phoneticPr fontId="3"/>
  </si>
  <si>
    <t>引14倉1</t>
    <phoneticPr fontId="3"/>
  </si>
  <si>
    <t>同盟戦 2021年7月,8月,9月</t>
    <rPh sb="0" eb="2">
      <t>ドウメイ</t>
    </rPh>
    <rPh sb="2" eb="3">
      <t>セン</t>
    </rPh>
    <rPh sb="8" eb="9">
      <t>ネン</t>
    </rPh>
    <rPh sb="10" eb="11">
      <t>ガツ</t>
    </rPh>
    <rPh sb="13" eb="14">
      <t>ガツ</t>
    </rPh>
    <rPh sb="16" eb="17">
      <t>ガツ</t>
    </rPh>
    <phoneticPr fontId="3"/>
  </si>
  <si>
    <t>アベルテ</t>
    <phoneticPr fontId="3"/>
  </si>
  <si>
    <t>アルクマッシュ</t>
    <phoneticPr fontId="3"/>
  </si>
  <si>
    <t>ザッハーク</t>
    <phoneticPr fontId="3"/>
  </si>
  <si>
    <t>ベガ</t>
    <phoneticPr fontId="3"/>
  </si>
  <si>
    <t>シュピーゲル</t>
    <phoneticPr fontId="3"/>
  </si>
  <si>
    <t>戦姫の騎士リュンヌ</t>
    <phoneticPr fontId="3"/>
  </si>
  <si>
    <t>あべるて</t>
    <phoneticPr fontId="3"/>
  </si>
  <si>
    <t>あるくまっしゅ</t>
    <phoneticPr fontId="3"/>
  </si>
  <si>
    <t>ざっはーく</t>
    <phoneticPr fontId="3"/>
  </si>
  <si>
    <t>べが</t>
    <phoneticPr fontId="3"/>
  </si>
  <si>
    <t>しゅぴーげる</t>
    <phoneticPr fontId="3"/>
  </si>
  <si>
    <t>せんきのきしりゅんぬ</t>
    <phoneticPr fontId="3"/>
  </si>
  <si>
    <t>マッシュ・バフ</t>
    <phoneticPr fontId="3"/>
  </si>
  <si>
    <t>タイプ神秘・知性派の防50％UP　/　所属が【関東】とそれに属する県、および【全国】【東日本】の防30％UP</t>
    <phoneticPr fontId="3"/>
  </si>
  <si>
    <t>ヴァイパーの一撃</t>
    <phoneticPr fontId="3"/>
  </si>
  <si>
    <t>タイプ偉人・名物の攻50％UP　/　所属が【中部】とそれに属する県、および【全国】【東日本】の攻30％UP</t>
    <phoneticPr fontId="3"/>
  </si>
  <si>
    <t>天女の泪</t>
    <phoneticPr fontId="3"/>
  </si>
  <si>
    <t>タイプ知性派・飲食の攻50％UP　/　所属が【近畿】とそれに属する県、および【全国】【西日本】の攻30％UP</t>
    <phoneticPr fontId="3"/>
  </si>
  <si>
    <t>鏡界を越えて</t>
    <phoneticPr fontId="3"/>
  </si>
  <si>
    <t>タイプ武人・伝承の攻50％UP　/　所属が【中国・四国】とそれに属する県、および【全国】【西日本】の攻30％UP</t>
    <phoneticPr fontId="3"/>
  </si>
  <si>
    <t>憧憬の戦姫</t>
    <phoneticPr fontId="3"/>
  </si>
  <si>
    <t>タイプ姫・伝承の防50％UP　/　所属が【九州・沖縄】とそれに属する県、および【全国】【西日本】の防30％UP</t>
    <phoneticPr fontId="3"/>
  </si>
  <si>
    <t>刺激的な世界</t>
    <phoneticPr fontId="3"/>
  </si>
  <si>
    <t>タイプ偉人・妖怪の防50％UP　/　所属が【北海道・東北】とそれに属する県、および【全国】【東日本】の防30％UP</t>
    <phoneticPr fontId="3"/>
  </si>
  <si>
    <t>所属一致ボーナス140％UP</t>
    <phoneticPr fontId="3"/>
  </si>
  <si>
    <t>ガチャ 2019/6/3, 6/22, 7/3, 8/3, 9/9, 11/9, 12/16, 2020/1/9, 2/19, 3/20, 4/27, 5/27, 6/12, 7/27, 8/23, 9/18, 10/23, 11/18, 12/30, 2021/2/18, 3/24, 4/18, 5/18</t>
    <phoneticPr fontId="3"/>
  </si>
  <si>
    <t>ガチャ 2018/8/9, 9/17, 9/30, 10/17, 10/28, 11/28, 12/17, 2019/1/31, 2/23, 3/31, 4/20, 5/12, 6/6, 7/25, 8/20, 9/25, 12/20,</t>
    <phoneticPr fontId="3"/>
  </si>
  <si>
    <t>ガチャ 2018/8/22, 12/6, 2019/1/11, 3/28, 4/27, 5/20, 6/24, 7/20, 8/25, 9/20, 12/25,</t>
    <phoneticPr fontId="3"/>
  </si>
  <si>
    <t>ガチャ 2018/8/4, 9/7, 9/24, 10/7, 10/25. 11/6, 12/11, 2019/1/6, 3/6, 4/13, 5/24, 6/20, 7/12, 8/6, 9/6, 10/20, 11/20, 12/12,</t>
    <phoneticPr fontId="3"/>
  </si>
  <si>
    <t>16+12+(16+15),14(復活チケ),14(復活チケ),14(復活チケ),11(LMG)</t>
    <phoneticPr fontId="3"/>
  </si>
  <si>
    <t>16+13+(16+15),11,12,13(LMG)</t>
    <phoneticPr fontId="3"/>
  </si>
  <si>
    <t>18(進化前+3)+16+(18+18),竜,竜,竜,竜</t>
    <rPh sb="3" eb="5">
      <t>シンカ</t>
    </rPh>
    <rPh sb="5" eb="6">
      <t>マエ</t>
    </rPh>
    <rPh sb="21" eb="22">
      <t>リュウ</t>
    </rPh>
    <rPh sb="23" eb="24">
      <t>リュウ</t>
    </rPh>
    <rPh sb="25" eb="26">
      <t>リュウ</t>
    </rPh>
    <rPh sb="27" eb="28">
      <t>リュウ</t>
    </rPh>
    <phoneticPr fontId="3"/>
  </si>
  <si>
    <t>18+14+(14+14),竜,竜,竜,竜  16+14+(14+14),10,竜,竜,竜</t>
    <rPh sb="14" eb="15">
      <t>リュウ</t>
    </rPh>
    <rPh sb="16" eb="17">
      <t>リュウ</t>
    </rPh>
    <rPh sb="40" eb="41">
      <t>リュウ</t>
    </rPh>
    <rPh sb="42" eb="43">
      <t>リュウ</t>
    </rPh>
    <rPh sb="44" eb="45">
      <t>リュウ</t>
    </rPh>
    <phoneticPr fontId="3"/>
  </si>
  <si>
    <t>引2</t>
    <phoneticPr fontId="3"/>
  </si>
  <si>
    <t>20+15+(17+15),16(古豪ガチャ),18(古豪ガチャ)</t>
    <phoneticPr fontId="3"/>
  </si>
  <si>
    <t>ガチャ 2019/12/3, 2020/1/3, 2/3, 3/7, 4/7, 5/3, 6/7, 7/7, 8/12, 9/27, 10/18, 11/13, 12/24, 2021/1/18, 2/13, 3/18, 4/13, 5/13, 6/24, 7/28, 8/27</t>
    <phoneticPr fontId="3"/>
  </si>
  <si>
    <t>引2</t>
  </si>
  <si>
    <r>
      <t>18+竜+(15+15),予竜,予竜,予竜,予竜</t>
    </r>
    <r>
      <rPr>
        <sz val="11"/>
        <color theme="1"/>
        <rFont val="Yu Gothic"/>
        <family val="2"/>
        <scheme val="minor"/>
      </rPr>
      <t xml:space="preserve"> 16+13+(14+14),9,10,11,11</t>
    </r>
    <rPh sb="3" eb="4">
      <t>リュウ</t>
    </rPh>
    <rPh sb="14" eb="15">
      <t>リュウ</t>
    </rPh>
    <phoneticPr fontId="3"/>
  </si>
  <si>
    <r>
      <rPr>
        <sz val="11"/>
        <color theme="1"/>
        <rFont val="Yu Gothic"/>
        <family val="2"/>
        <scheme val="minor"/>
      </rPr>
      <t>19+14+(18+17),12,竜,竜</t>
    </r>
    <r>
      <rPr>
        <sz val="11"/>
        <color rgb="FFC00000"/>
        <rFont val="Yu Gothic"/>
        <family val="2"/>
        <scheme val="minor"/>
      </rPr>
      <t>,予竜</t>
    </r>
    <r>
      <rPr>
        <sz val="11"/>
        <color theme="1"/>
        <rFont val="Yu Gothic"/>
        <family val="2"/>
        <scheme val="minor"/>
      </rPr>
      <t xml:space="preserve"> 17+14+(14+14),竜,竜,竜,竜 15(↑進化前+3)+12+(14+13),竜,竜,竜,竜</t>
    </r>
    <rPh sb="17" eb="18">
      <t>リュウ</t>
    </rPh>
    <rPh sb="50" eb="52">
      <t>シンカ</t>
    </rPh>
    <rPh sb="52" eb="53">
      <t>マエ</t>
    </rPh>
    <rPh sb="68" eb="69">
      <t>リュウ</t>
    </rPh>
    <rPh sb="70" eb="71">
      <t>リュウ</t>
    </rPh>
    <rPh sb="72" eb="73">
      <t>リュウ</t>
    </rPh>
    <rPh sb="74" eb="75">
      <t>リュウ</t>
    </rPh>
    <phoneticPr fontId="3"/>
  </si>
  <si>
    <t>2021/08/17 20:00～2021/10/15 11:59</t>
    <phoneticPr fontId="3"/>
  </si>
  <si>
    <t>世紀末百鬼夜行</t>
    <phoneticPr fontId="3"/>
  </si>
  <si>
    <t>せいきまつぬらりひょん</t>
    <phoneticPr fontId="3"/>
  </si>
  <si>
    <t>【世紀末】ぬらりひょん</t>
    <phoneticPr fontId="3"/>
  </si>
  <si>
    <t>【茶屋むすめ】村雨丸</t>
    <phoneticPr fontId="3"/>
  </si>
  <si>
    <t>一刀両断、氷対応</t>
    <phoneticPr fontId="3"/>
  </si>
  <si>
    <t>ちゃやむすめむらさめまる</t>
    <phoneticPr fontId="3"/>
  </si>
  <si>
    <t>ぐんま百名山制覇</t>
    <phoneticPr fontId="3"/>
  </si>
  <si>
    <t>やまがーるあきあかいてるこ</t>
    <phoneticPr fontId="3"/>
  </si>
  <si>
    <t>【山ガール秋】赤井輝子</t>
    <phoneticPr fontId="3"/>
  </si>
  <si>
    <t>タイプ神秘・知性派の防45％UP　/　タイプ【飲食】の防15％UP</t>
    <phoneticPr fontId="3"/>
  </si>
  <si>
    <t>レモンの大阪観光</t>
    <phoneticPr fontId="3"/>
  </si>
  <si>
    <t>みやこのたわーせとうちれもん</t>
    <phoneticPr fontId="3"/>
  </si>
  <si>
    <t>【みやこのタワー】瀬戸内レモン</t>
    <phoneticPr fontId="3"/>
  </si>
  <si>
    <t>2018/11防衛戦</t>
    <phoneticPr fontId="3"/>
  </si>
  <si>
    <t>2018/11四神戦</t>
    <phoneticPr fontId="3"/>
  </si>
  <si>
    <t>2018/11サイコロ</t>
    <phoneticPr fontId="3"/>
  </si>
  <si>
    <t>2018/11天下統一戦</t>
    <rPh sb="7" eb="9">
      <t>テンカ</t>
    </rPh>
    <rPh sb="9" eb="11">
      <t>トウイツ</t>
    </rPh>
    <rPh sb="11" eb="12">
      <t>セン</t>
    </rPh>
    <phoneticPr fontId="3"/>
  </si>
  <si>
    <t>25+19+25,15,16,17,18</t>
    <phoneticPr fontId="3"/>
  </si>
  <si>
    <t>20+20+20,15,17,18,18</t>
    <phoneticPr fontId="3"/>
  </si>
  <si>
    <t>15+15+15,13,14,15,15</t>
    <phoneticPr fontId="3"/>
  </si>
  <si>
    <r>
      <t>17+14+(15+15),14,14,14,14</t>
    </r>
    <r>
      <rPr>
        <sz val="11"/>
        <color theme="1"/>
        <rFont val="Yu Gothic"/>
        <family val="2"/>
        <scheme val="minor"/>
      </rPr>
      <t xml:space="preserve"> 16+14+(14+14),竜,竜,竜,竜</t>
    </r>
    <rPh sb="40" eb="41">
      <t>リュウ</t>
    </rPh>
    <phoneticPr fontId="3"/>
  </si>
  <si>
    <t>25+15+17,14,14,14,14</t>
    <phoneticPr fontId="3"/>
  </si>
  <si>
    <r>
      <rPr>
        <sz val="11"/>
        <color theme="1"/>
        <rFont val="Yu Gothic"/>
        <family val="2"/>
        <scheme val="minor"/>
      </rPr>
      <t>20+12+17,17,18</t>
    </r>
    <r>
      <rPr>
        <sz val="11"/>
        <color theme="1"/>
        <rFont val="Yu Gothic"/>
        <family val="2"/>
        <scheme val="minor"/>
      </rPr>
      <t>,12,14</t>
    </r>
    <phoneticPr fontId="3"/>
  </si>
  <si>
    <t>19+15+(16+15),14,14,14,15 17+12+(14+14),14,14,14,14</t>
    <phoneticPr fontId="3"/>
  </si>
  <si>
    <t>19+13+14,13,14</t>
    <phoneticPr fontId="3"/>
  </si>
  <si>
    <t>同盟戦 2021年10月,11月,12月</t>
    <rPh sb="0" eb="2">
      <t>ドウメイ</t>
    </rPh>
    <rPh sb="2" eb="3">
      <t>セン</t>
    </rPh>
    <rPh sb="8" eb="9">
      <t>ネン</t>
    </rPh>
    <rPh sb="11" eb="12">
      <t>ガツ</t>
    </rPh>
    <rPh sb="15" eb="16">
      <t>ガツ</t>
    </rPh>
    <rPh sb="19" eb="20">
      <t>ガツ</t>
    </rPh>
    <phoneticPr fontId="3"/>
  </si>
  <si>
    <t>タイプ姫・伝承の攻50％UP　/　所属が【北海道・東北】とそれに属する県、および【全国】【東日本】の攻30％UP</t>
    <phoneticPr fontId="3"/>
  </si>
  <si>
    <t>タイプ神秘・飲食の攻50％UP　/　所属が【関東】とそれに属する県、および【全国】【東日本】の攻30％UP</t>
    <phoneticPr fontId="3"/>
  </si>
  <si>
    <t>タイプ偉人・妖怪の防50％UP　/　所属が【中部】とそれに属する県、および【全国】【東日本】の防30％UP</t>
    <phoneticPr fontId="3"/>
  </si>
  <si>
    <t>タイプ武人・姫の攻50％UP　/　所属が【近畿】とそれに属する県、および【全国】【西日本】の攻30％UP</t>
    <phoneticPr fontId="3"/>
  </si>
  <si>
    <t>タイプ偉人・名物の防50％UP　/　所属が【中国・四国】とそれに属する県、および【全国】【西日本】の防30％UP</t>
    <phoneticPr fontId="3"/>
  </si>
  <si>
    <t>タイプ神秘・知性派の防50％UP　/　所属が【九州・沖縄】とそれに属する県、および【全国】【西日本】の防30％UP</t>
    <phoneticPr fontId="3"/>
  </si>
  <si>
    <t>鋼鉄縛鎖</t>
    <phoneticPr fontId="3"/>
  </si>
  <si>
    <t>俗世の神</t>
    <phoneticPr fontId="3"/>
  </si>
  <si>
    <t>喜怒哀楽</t>
    <phoneticPr fontId="3"/>
  </si>
  <si>
    <t>幻想の魔女</t>
    <phoneticPr fontId="3"/>
  </si>
  <si>
    <t>即死の邪眼</t>
    <phoneticPr fontId="3"/>
  </si>
  <si>
    <t>平和で怠惰な日常</t>
    <phoneticPr fontId="3"/>
  </si>
  <si>
    <t>ばくさのしぇいうっど</t>
    <phoneticPr fontId="3"/>
  </si>
  <si>
    <t>ひゅぺりおん</t>
    <phoneticPr fontId="3"/>
  </si>
  <si>
    <t>へんめんのあいめい</t>
    <phoneticPr fontId="3"/>
  </si>
  <si>
    <t>ふてるな</t>
    <phoneticPr fontId="3"/>
  </si>
  <si>
    <t>かとぶれぱす</t>
    <phoneticPr fontId="3"/>
  </si>
  <si>
    <t>じだらくなでぃしらむ</t>
    <phoneticPr fontId="3"/>
  </si>
  <si>
    <t>縛鎖のシェイウッド</t>
    <phoneticPr fontId="3"/>
  </si>
  <si>
    <t>ヒュペリオン</t>
    <phoneticPr fontId="3"/>
  </si>
  <si>
    <t>変面のアイメイ</t>
    <phoneticPr fontId="3"/>
  </si>
  <si>
    <t>フテルナ</t>
    <phoneticPr fontId="3"/>
  </si>
  <si>
    <t>カトブレパス</t>
    <phoneticPr fontId="3"/>
  </si>
  <si>
    <t>自堕落なディシラム</t>
    <phoneticPr fontId="3"/>
  </si>
  <si>
    <t>2021/10/15 20:00～2021/12/15 11:59</t>
    <phoneticPr fontId="3"/>
  </si>
  <si>
    <t>大虎となった赤鬼</t>
    <phoneticPr fontId="3"/>
  </si>
  <si>
    <t>ぼうねんかいいいなおまさ</t>
    <phoneticPr fontId="3"/>
  </si>
  <si>
    <t>【暴年会】井伊直政</t>
    <phoneticPr fontId="3"/>
  </si>
  <si>
    <t>ひらく恋バナと葵の華</t>
    <phoneticPr fontId="3"/>
  </si>
  <si>
    <t>おとまりじょしかいいちじょうみかこ</t>
    <phoneticPr fontId="3"/>
  </si>
  <si>
    <t>【お泊り女子会】一条美賀子</t>
    <phoneticPr fontId="3"/>
  </si>
  <si>
    <t>タイプ神秘・知性派・飲食の攻40％UP　/　タイプ伝承・武人・姫の防10％DOWN</t>
    <phoneticPr fontId="3"/>
  </si>
  <si>
    <t>冬空に響く美しき歌声</t>
    <phoneticPr fontId="3"/>
  </si>
  <si>
    <t>ゆきのうたはせがわしぐれ</t>
    <phoneticPr fontId="3"/>
  </si>
  <si>
    <t>【雪の唄】長谷川時雨</t>
    <phoneticPr fontId="3"/>
  </si>
  <si>
    <t>タイプ武人・伝承の攻90％DOWN　/　タイプ偉人・名物の防30％UP</t>
    <phoneticPr fontId="3"/>
  </si>
  <si>
    <t>ふるいになんか負けない！</t>
    <phoneticPr fontId="3"/>
  </si>
  <si>
    <t>ねんまつおおそうじあぷとるやむぺうぇんゆく</t>
    <phoneticPr fontId="3"/>
  </si>
  <si>
    <t>【年末大掃除】アプトルヤムペウェンユク</t>
    <phoneticPr fontId="3"/>
  </si>
  <si>
    <t>2018/12防衛戦</t>
    <phoneticPr fontId="3"/>
  </si>
  <si>
    <t>2018/12四神戦</t>
    <phoneticPr fontId="3"/>
  </si>
  <si>
    <t>2018/12サイコロ</t>
    <phoneticPr fontId="3"/>
  </si>
  <si>
    <t>2018/12全国巡り</t>
    <rPh sb="7" eb="9">
      <t>ゼンコク</t>
    </rPh>
    <rPh sb="9" eb="10">
      <t>メグ</t>
    </rPh>
    <phoneticPr fontId="3"/>
  </si>
  <si>
    <t>19+15+(17+16)</t>
    <phoneticPr fontId="3"/>
  </si>
  <si>
    <t>2進MAX迄 15+14</t>
    <rPh sb="1" eb="2">
      <t>シン</t>
    </rPh>
    <rPh sb="5" eb="6">
      <t>マデ</t>
    </rPh>
    <phoneticPr fontId="3"/>
  </si>
  <si>
    <t>御光降臨</t>
    <phoneticPr fontId="3"/>
  </si>
  <si>
    <t>タイプ神秘・知性派・飲食の防40％UP　/　所属が【西日本】と、それに属する地方・県、および【全国】の攻40％DOWN</t>
    <phoneticPr fontId="3"/>
  </si>
  <si>
    <t>時流を汲みし讃岐国主</t>
    <phoneticPr fontId="3"/>
  </si>
  <si>
    <t>タイプ伝承・武人・姫の防40％UP　/　所属が【東日本】と、それに属する地方・県、および【全国】の攻40％DOWN</t>
    <phoneticPr fontId="3"/>
  </si>
  <si>
    <t>ごらいこう</t>
    <phoneticPr fontId="3"/>
  </si>
  <si>
    <t>そごうまさはる</t>
    <phoneticPr fontId="3"/>
  </si>
  <si>
    <t>御来迎</t>
    <phoneticPr fontId="3"/>
  </si>
  <si>
    <t>十河存春</t>
    <phoneticPr fontId="3"/>
  </si>
  <si>
    <r>
      <t>18+15+(18+16),12,15,予竜,予竜</t>
    </r>
    <r>
      <rPr>
        <sz val="11"/>
        <color theme="1"/>
        <rFont val="Yu Gothic"/>
        <family val="2"/>
        <scheme val="minor"/>
      </rPr>
      <t xml:space="preserve"> 14(↑3進後18)+9+(14+11),竜,竜,竜,竜</t>
    </r>
    <rPh sb="47" eb="48">
      <t>リュウ</t>
    </rPh>
    <rPh sb="49" eb="50">
      <t>リュウ</t>
    </rPh>
    <rPh sb="51" eb="52">
      <t>リュウ</t>
    </rPh>
    <rPh sb="53" eb="54">
      <t>リュウ</t>
    </rPh>
    <phoneticPr fontId="3"/>
  </si>
  <si>
    <t>ネイキッド</t>
    <phoneticPr fontId="3"/>
  </si>
  <si>
    <t>20+14+(14+14),14,14,14,14</t>
    <phoneticPr fontId="3"/>
  </si>
  <si>
    <t>儚灯の光景</t>
    <phoneticPr fontId="3"/>
  </si>
  <si>
    <t>タイプ神秘・知性派・飲食の攻40％UP　/　所属が【西日本】と、それに属する地方・県、および【全国】の防40％DOWN</t>
    <phoneticPr fontId="3"/>
  </si>
  <si>
    <t>輝かしき称号</t>
    <phoneticPr fontId="3"/>
  </si>
  <si>
    <t>タイプ偉人・妖怪・名物の攻40％UP　/　所属が【東日本】と、それに属する地方・県、および【全国】の防40％DOWN</t>
    <phoneticPr fontId="3"/>
  </si>
  <si>
    <t>アリュメット</t>
    <phoneticPr fontId="3"/>
  </si>
  <si>
    <t>ありゅめっと</t>
    <phoneticPr fontId="3"/>
  </si>
  <si>
    <t>フェルリスナイト</t>
    <phoneticPr fontId="3"/>
  </si>
  <si>
    <t>ふぇるりすないと</t>
    <phoneticPr fontId="3"/>
  </si>
  <si>
    <t>16(↑3進後18(復活SSRチケ))+13+(16+14),18(復活SSRチケ),10(LMG)</t>
    <rPh sb="5" eb="6">
      <t>シン</t>
    </rPh>
    <rPh sb="6" eb="7">
      <t>ゴ</t>
    </rPh>
    <rPh sb="10" eb="12">
      <t>フッカツ</t>
    </rPh>
    <phoneticPr fontId="3"/>
  </si>
  <si>
    <t>18+11+(14+14),10(LMG)</t>
    <phoneticPr fontId="3"/>
  </si>
  <si>
    <t>16+11+(16+15),10(LMG),10(LMG),10(LMG)</t>
    <phoneticPr fontId="3"/>
  </si>
  <si>
    <t>16+10(LMG)+11,10(LMG),10(LMG)</t>
    <phoneticPr fontId="3"/>
  </si>
  <si>
    <t>15+14+(15+15),11(LMG),12(LMG),10(LMG)</t>
    <phoneticPr fontId="3"/>
  </si>
  <si>
    <t>22+18+19,15,15,16,17</t>
    <phoneticPr fontId="3"/>
  </si>
  <si>
    <t>24+15+17</t>
    <phoneticPr fontId="3"/>
  </si>
  <si>
    <t>20+17+20,15,15,16,17</t>
    <phoneticPr fontId="3"/>
  </si>
  <si>
    <t>19+18+18,15,15,17</t>
    <phoneticPr fontId="3"/>
  </si>
  <si>
    <t>22+15+(18+16),14,14 26+15+(18+18),14,14,14,14</t>
    <phoneticPr fontId="3"/>
  </si>
  <si>
    <t>18+16+17,15,16</t>
    <phoneticPr fontId="3"/>
  </si>
  <si>
    <t>同盟戦 2022年1月,2月,3月</t>
    <rPh sb="0" eb="2">
      <t>ドウメイ</t>
    </rPh>
    <rPh sb="2" eb="3">
      <t>セン</t>
    </rPh>
    <rPh sb="8" eb="9">
      <t>ネン</t>
    </rPh>
    <rPh sb="10" eb="11">
      <t>ガツ</t>
    </rPh>
    <rPh sb="13" eb="14">
      <t>ガツ</t>
    </rPh>
    <rPh sb="16" eb="17">
      <t>ガツ</t>
    </rPh>
    <phoneticPr fontId="3"/>
  </si>
  <si>
    <t>ホーリー・ライト</t>
    <phoneticPr fontId="3"/>
  </si>
  <si>
    <t>ほーりーらいと</t>
    <phoneticPr fontId="3"/>
  </si>
  <si>
    <t>聖なる輝き</t>
    <phoneticPr fontId="3"/>
  </si>
  <si>
    <t>タイプ偉人・妖怪・名物の防40％UP　/　所属が【西日本】と、それに属する地方・県、および【全国】の攻40％DOWN</t>
    <phoneticPr fontId="3"/>
  </si>
  <si>
    <t>天使の祝福</t>
    <phoneticPr fontId="3"/>
  </si>
  <si>
    <t>ほーりーりーす</t>
    <phoneticPr fontId="3"/>
  </si>
  <si>
    <t>ホーリー・リース</t>
    <phoneticPr fontId="3"/>
  </si>
  <si>
    <t>ガチャ 2022/12/4, 12/30</t>
    <phoneticPr fontId="3"/>
  </si>
  <si>
    <t>せっかすのーらびっと</t>
    <phoneticPr fontId="3"/>
  </si>
  <si>
    <t>【雪花】スノーラビット</t>
    <phoneticPr fontId="3"/>
  </si>
  <si>
    <t>小心者の案内人</t>
    <phoneticPr fontId="3"/>
  </si>
  <si>
    <t>タイプ偉人・妖怪・名物の攻40％UP　/　所属が【西日本】と、それに属する地方・県、および【全国】の防40％DOWN</t>
    <phoneticPr fontId="3"/>
  </si>
  <si>
    <t>タイプ伝承・武人・姫の攻40％UP　/　所属が【東日本】と、それに属する地方・県、および【全国】の防40％DOWN</t>
    <phoneticPr fontId="3"/>
  </si>
  <si>
    <t>精霊の涙</t>
    <phoneticPr fontId="3"/>
  </si>
  <si>
    <t>せっかびびあん</t>
    <phoneticPr fontId="3"/>
  </si>
  <si>
    <t>【雪花】ヴィヴィアン</t>
    <phoneticPr fontId="3"/>
  </si>
  <si>
    <t>タイプ妖怪・名物の攻50％UP　/　所属が【北海道・東北】とそれに属する県、および【全国】【東日本】の攻30％UP</t>
    <phoneticPr fontId="3"/>
  </si>
  <si>
    <t>聖戦の女神</t>
    <phoneticPr fontId="3"/>
  </si>
  <si>
    <t>せいふらんちぇすか</t>
    <phoneticPr fontId="3"/>
  </si>
  <si>
    <t>聖フランチェスカ</t>
    <phoneticPr fontId="3"/>
  </si>
  <si>
    <t>タイプ武人・伝承の防50％UP　/　所属が【関東】とそれに属する県、および【全国】【東日本】の防30％UP</t>
    <phoneticPr fontId="3"/>
  </si>
  <si>
    <t>疫病をもたらす者</t>
    <phoneticPr fontId="3"/>
  </si>
  <si>
    <t>タイプ神秘・飲食の防50％UP　/　所属が【中部】とそれに属する県、および【全国】【東日本】の防30％UP</t>
    <phoneticPr fontId="3"/>
  </si>
  <si>
    <t>金銀パラジウム合金</t>
    <phoneticPr fontId="3"/>
  </si>
  <si>
    <t>タイプ妖怪・名物の攻50％UP　/　所属が【近畿】とそれに属する県、および【全国】【西日本】の攻30％UP</t>
    <phoneticPr fontId="3"/>
  </si>
  <si>
    <t>踊る雪だるま</t>
    <phoneticPr fontId="3"/>
  </si>
  <si>
    <t>タイプ偉人・妖怪の攻50％UP　/　所属が【中国・四国】とそれに属する県、および【全国】【西日本】の攻30％UP</t>
    <phoneticPr fontId="3"/>
  </si>
  <si>
    <t>金の帽子の呪文</t>
    <phoneticPr fontId="3"/>
  </si>
  <si>
    <t>タイプ武人・姫の防50％UP　/　所属が【九州・沖縄】とそれに属する県、および【全国】【西日本】の防30％UP</t>
    <phoneticPr fontId="3"/>
  </si>
  <si>
    <t>温泉制覇の野望</t>
    <phoneticPr fontId="3"/>
  </si>
  <si>
    <t>あしゆのきゃめろん</t>
    <phoneticPr fontId="3"/>
  </si>
  <si>
    <t>ふらいんぐもんきー</t>
    <phoneticPr fontId="3"/>
  </si>
  <si>
    <t>足湯のキャメロン</t>
    <phoneticPr fontId="3"/>
  </si>
  <si>
    <t>フライングモンキー</t>
    <phoneticPr fontId="3"/>
  </si>
  <si>
    <t>せっこうやふるえーる</t>
    <phoneticPr fontId="3"/>
  </si>
  <si>
    <t>【雪降夜】フルエール</t>
    <phoneticPr fontId="3"/>
  </si>
  <si>
    <t>歯科技工士のサン</t>
    <phoneticPr fontId="3"/>
  </si>
  <si>
    <t>しかぎこうしのさん</t>
    <phoneticPr fontId="3"/>
  </si>
  <si>
    <t>まんだらっと</t>
    <phoneticPr fontId="3"/>
  </si>
  <si>
    <t>マンダラット</t>
    <phoneticPr fontId="3"/>
  </si>
  <si>
    <t>2020/01/28, 3/19, 4/25, 5/19, 6/24, 7/24, 8/17, 9/22, 10/24, 11/29, 12/23, 2021/1/17, 2/28, 4/28, 3/29, 5/28, 6/27, 7/23, 9/4, 10/4, 11/7</t>
    <phoneticPr fontId="3"/>
  </si>
  <si>
    <t>2020/1/17, 2/12, 3/11, 4/11, 5/6, 6/6, 7/6, 8/11, 9/6, 10/17, 11/23, 12/17, 2021/1/12, 2/6, 3/6, 4/6, 5/7, 6/6, 7/6, 7/27, 9/8, 10/7, 11/12, 12/7, 2022/1/21</t>
    <phoneticPr fontId="3"/>
  </si>
  <si>
    <t>2020/1/20, 2/20, 3/24, 4/19, 5/24, 6/20, 7/20, 8/24, 9/12, 10/6, 11/12, 12/6, 2021/1/6, 2/12, 3/12, 4/12, 5/12, 6/11, 7/11, 7/30, 9/13, 10/17</t>
    <phoneticPr fontId="3"/>
  </si>
  <si>
    <t>ガチャ 2018/6/12, 2019/3/11, 7/6, 2020/10/28, 2021/1/28, 2/23, 3/17, 4/17, 5/17, 6/17, 7/14, 8/4, 8/26, 9/18, 10/21</t>
    <phoneticPr fontId="3"/>
  </si>
  <si>
    <t>【妬炎】ジャルジー</t>
    <phoneticPr fontId="3"/>
  </si>
  <si>
    <t>とえんじゃるじー</t>
    <phoneticPr fontId="3"/>
  </si>
  <si>
    <t>ギブミーチョコレート！</t>
    <phoneticPr fontId="3"/>
  </si>
  <si>
    <t>スクリィアム</t>
    <phoneticPr fontId="3"/>
  </si>
  <si>
    <t>すくりぃあむ</t>
    <phoneticPr fontId="3"/>
  </si>
  <si>
    <t>悲しみを抱いて</t>
    <phoneticPr fontId="3"/>
  </si>
  <si>
    <t>15,12</t>
    <phoneticPr fontId="3"/>
  </si>
  <si>
    <t>13,12</t>
    <phoneticPr fontId="3"/>
  </si>
  <si>
    <t>18(↑3進化後21)+竜+(13+13),18</t>
    <rPh sb="12" eb="13">
      <t>リュウ</t>
    </rPh>
    <phoneticPr fontId="3"/>
  </si>
  <si>
    <t>猫騎士イルロス</t>
    <phoneticPr fontId="3"/>
  </si>
  <si>
    <t>ウォッチメイカー</t>
    <phoneticPr fontId="3"/>
  </si>
  <si>
    <t>ギ2</t>
    <phoneticPr fontId="3"/>
  </si>
  <si>
    <t>ギ1</t>
  </si>
  <si>
    <t>スノウフェアリー</t>
    <phoneticPr fontId="3"/>
  </si>
  <si>
    <t>引1</t>
  </si>
  <si>
    <t>引1</t>
    <phoneticPr fontId="3"/>
  </si>
  <si>
    <t>引12</t>
  </si>
  <si>
    <t>引12</t>
    <phoneticPr fontId="3"/>
  </si>
  <si>
    <t>引6</t>
  </si>
  <si>
    <t>引6</t>
    <phoneticPr fontId="3"/>
  </si>
  <si>
    <t>引15</t>
  </si>
  <si>
    <t>引15</t>
    <phoneticPr fontId="3"/>
  </si>
  <si>
    <t>牟宇姫</t>
    <phoneticPr fontId="3"/>
  </si>
  <si>
    <t>20+15+(19+15),14,14,14,14</t>
    <phoneticPr fontId="3"/>
  </si>
  <si>
    <t>20+18+19,13,17,18,18</t>
    <phoneticPr fontId="3"/>
  </si>
  <si>
    <t>26+14+(18+14),14,14,14,14</t>
    <phoneticPr fontId="3"/>
  </si>
  <si>
    <t>23+17+18,14,14,15,17</t>
    <phoneticPr fontId="3"/>
  </si>
  <si>
    <t>15+14+14,14,14,14,14</t>
    <phoneticPr fontId="3"/>
  </si>
  <si>
    <t>予18+15+16</t>
    <rPh sb="0" eb="1">
      <t>ヨ</t>
    </rPh>
    <phoneticPr fontId="3"/>
  </si>
  <si>
    <t>予15+14+14</t>
    <rPh sb="0" eb="1">
      <t>ヨ</t>
    </rPh>
    <phoneticPr fontId="3"/>
  </si>
  <si>
    <t>予18+14+14</t>
    <rPh sb="0" eb="1">
      <t>ヨ</t>
    </rPh>
    <phoneticPr fontId="3"/>
  </si>
  <si>
    <t>予19+18+19,15</t>
    <rPh sb="0" eb="1">
      <t>ヨ</t>
    </rPh>
    <phoneticPr fontId="3"/>
  </si>
  <si>
    <t>予20+19+20</t>
    <phoneticPr fontId="3"/>
  </si>
  <si>
    <t>予18+14+14</t>
    <phoneticPr fontId="3"/>
  </si>
  <si>
    <t>余引14x4</t>
    <rPh sb="0" eb="1">
      <t>アマ</t>
    </rPh>
    <phoneticPr fontId="3"/>
  </si>
  <si>
    <t>21+14+(14+14),竜,竜,竜,竜 余14</t>
    <rPh sb="22" eb="23">
      <t>アマ</t>
    </rPh>
    <phoneticPr fontId="3"/>
  </si>
  <si>
    <t>引6ギ1</t>
    <phoneticPr fontId="3"/>
  </si>
  <si>
    <t>予18+16+18</t>
    <phoneticPr fontId="3"/>
  </si>
  <si>
    <t>14+14+(14+14),10,12,?,14 処13</t>
    <rPh sb="25" eb="26">
      <t>ショ</t>
    </rPh>
    <phoneticPr fontId="3"/>
  </si>
  <si>
    <t>18+16+(16+16),11,12,12,14 処15</t>
    <rPh sb="26" eb="27">
      <t>ショ</t>
    </rPh>
    <phoneticPr fontId="3"/>
  </si>
  <si>
    <t>20+17+(19+19),10,11,14,16 処17</t>
    <rPh sb="26" eb="27">
      <t>ショ</t>
    </rPh>
    <phoneticPr fontId="3"/>
  </si>
  <si>
    <t>18+16+(18+16),11,14,14,15 処16,15</t>
    <rPh sb="26" eb="27">
      <t>ショ</t>
    </rPh>
    <phoneticPr fontId="3"/>
  </si>
  <si>
    <t>20+18+(19+18),15,15,16,14 処15</t>
    <rPh sb="26" eb="27">
      <t>ショ</t>
    </rPh>
    <phoneticPr fontId="3"/>
  </si>
  <si>
    <t>20+18+(20+18),13,15,16,17 処17</t>
    <rPh sb="26" eb="27">
      <t>ショ</t>
    </rPh>
    <phoneticPr fontId="3"/>
  </si>
  <si>
    <t>2022/02/15 20:00～2022/04/15 11:59</t>
    <phoneticPr fontId="3"/>
  </si>
  <si>
    <t>2021/12/15 20:00～2022/02/15 11:59</t>
    <phoneticPr fontId="3"/>
  </si>
  <si>
    <t>タイプ伝承・武人・姫の防90％DOWN　/　タイプ知性派・飲食の攻20％UP</t>
    <phoneticPr fontId="3"/>
  </si>
  <si>
    <t>荒々しく豊穣もたらす水神</t>
    <phoneticPr fontId="3"/>
  </si>
  <si>
    <t>しちふくじんわかうかのめのみこと</t>
    <phoneticPr fontId="3"/>
  </si>
  <si>
    <t>【七福神】ワカウカノメノミコト</t>
    <phoneticPr fontId="3"/>
  </si>
  <si>
    <t>タイプ伝承・武人・姫の防40％UP　/　タイプ伝承・武人・姫の攻10％DOWN</t>
    <phoneticPr fontId="3"/>
  </si>
  <si>
    <t>琵琶の音が結ぶ相棒</t>
    <phoneticPr fontId="3"/>
  </si>
  <si>
    <t>いどしみみなしほういち</t>
    <phoneticPr fontId="3"/>
  </si>
  <si>
    <t>【亥年】耳なし芳一</t>
    <phoneticPr fontId="3"/>
  </si>
  <si>
    <t>タイプ偉人・妖怪・名物の防35％UP　/　タイプ伝承・武人・姫の攻15％DOWN</t>
    <phoneticPr fontId="3"/>
  </si>
  <si>
    <t>赤く燃える情熱</t>
    <phoneticPr fontId="3"/>
  </si>
  <si>
    <t>うぃんたーすぽーつるびー</t>
    <phoneticPr fontId="3"/>
  </si>
  <si>
    <t>【ウィンタースポーツ】ルビー</t>
    <phoneticPr fontId="3"/>
  </si>
  <si>
    <t>愛する人に捧ぐ新年のメロディ</t>
    <phoneticPr fontId="3"/>
  </si>
  <si>
    <t>しんねんおんがくかいおたあじゅりあ</t>
    <phoneticPr fontId="3"/>
  </si>
  <si>
    <t>【新年音楽会】おたあジュリア</t>
    <phoneticPr fontId="3"/>
  </si>
  <si>
    <t>卓越した頭脳による名勝負</t>
    <phoneticPr fontId="3"/>
  </si>
  <si>
    <t>しょうぎからくりぎえもん</t>
    <phoneticPr fontId="3"/>
  </si>
  <si>
    <t>【将棋】からくり儀右衛門</t>
    <phoneticPr fontId="3"/>
  </si>
  <si>
    <t>幸せな時間</t>
    <phoneticPr fontId="3"/>
  </si>
  <si>
    <t>なべぱーてぃたかばおさむ</t>
    <phoneticPr fontId="3"/>
  </si>
  <si>
    <t>【鍋パーティ】高場乱</t>
    <phoneticPr fontId="3"/>
  </si>
  <si>
    <t>タイプ【伝承】の攻30％UP　/　タイプ武人・姫の攻15％UP</t>
    <phoneticPr fontId="3"/>
  </si>
  <si>
    <t>ときめきメロディ</t>
    <phoneticPr fontId="3"/>
  </si>
  <si>
    <t>ひびきわたるねいろまつおたせこ</t>
    <phoneticPr fontId="3"/>
  </si>
  <si>
    <t>【響き渡る音色】松尾多勢子</t>
    <phoneticPr fontId="3"/>
  </si>
  <si>
    <t>雪像世界の黒狐</t>
    <phoneticPr fontId="3"/>
  </si>
  <si>
    <t>ゆきのさいてんしとぅんぺかむい</t>
    <phoneticPr fontId="3"/>
  </si>
  <si>
    <t>【雪の祭典】シトゥンペカムイ</t>
    <phoneticPr fontId="3"/>
  </si>
  <si>
    <t>2019/01防衛戦</t>
    <phoneticPr fontId="3"/>
  </si>
  <si>
    <t>2019/01四神戦</t>
    <phoneticPr fontId="3"/>
  </si>
  <si>
    <t>2019/01サイコロ</t>
    <phoneticPr fontId="3"/>
  </si>
  <si>
    <t>2019/01天下統一戦</t>
    <rPh sb="7" eb="9">
      <t>テンカ</t>
    </rPh>
    <rPh sb="9" eb="11">
      <t>トウイツ</t>
    </rPh>
    <rPh sb="11" eb="12">
      <t>セン</t>
    </rPh>
    <phoneticPr fontId="3"/>
  </si>
  <si>
    <t>2019/02防衛戦</t>
    <phoneticPr fontId="3"/>
  </si>
  <si>
    <t>2019/02四神戦</t>
    <phoneticPr fontId="3"/>
  </si>
  <si>
    <t>2019/02サイコロ</t>
    <phoneticPr fontId="3"/>
  </si>
  <si>
    <t>2019/02全国巡り</t>
    <rPh sb="7" eb="9">
      <t>ゼンコク</t>
    </rPh>
    <rPh sb="9" eb="10">
      <t>メグ</t>
    </rPh>
    <phoneticPr fontId="3"/>
  </si>
  <si>
    <t>15+13+(15+15)</t>
    <phoneticPr fontId="3"/>
  </si>
  <si>
    <t>19+14+(16+15),11,12,18</t>
    <phoneticPr fontId="3"/>
  </si>
  <si>
    <t>16+12+(14+13)</t>
    <phoneticPr fontId="3"/>
  </si>
  <si>
    <t>17(↑3進後18)+12+(16+16)</t>
    <phoneticPr fontId="3"/>
  </si>
  <si>
    <t>20+16+(17+16)</t>
    <phoneticPr fontId="3"/>
  </si>
  <si>
    <t>19+16+(17+16)</t>
    <phoneticPr fontId="3"/>
  </si>
  <si>
    <t>19+10+12</t>
    <phoneticPr fontId="3"/>
  </si>
  <si>
    <t>12 間違えて処分した模様→17+12+(15+14),12,12,12,13</t>
    <rPh sb="3" eb="5">
      <t>マチガ</t>
    </rPh>
    <rPh sb="7" eb="9">
      <t>ショブン</t>
    </rPh>
    <rPh sb="11" eb="13">
      <t>モヨウ</t>
    </rPh>
    <phoneticPr fontId="3"/>
  </si>
  <si>
    <t>19+12+(14+13),11,10(LMG)</t>
    <phoneticPr fontId="3"/>
  </si>
  <si>
    <t>ガチャ 2019/9/3, 9/29, 10/13, 11/3, 12/13, 2020/1/13, 2/9, 3/13, 4/12, 5/20, 6/27, 7/21, 8/18, 9/13, 10/13, 11/24, 12/18, 2021/1/24, 2/24, 3/30, 4/29, 5/29, 7/13, 9/19, 10/20, 11/20,</t>
    <phoneticPr fontId="3"/>
  </si>
  <si>
    <t>18+14+(16+15),11,12,13,11(LMG) 処13</t>
    <rPh sb="31" eb="32">
      <t>ショ</t>
    </rPh>
    <phoneticPr fontId="3"/>
  </si>
  <si>
    <t>16+13+(16+15),13(LMG),10(LMG)</t>
    <phoneticPr fontId="3"/>
  </si>
  <si>
    <t>16(↑3進後21)+12+(14+14),18,11(LMG)</t>
    <rPh sb="5" eb="6">
      <t>シン</t>
    </rPh>
    <rPh sb="6" eb="7">
      <t>ゴ</t>
    </rPh>
    <phoneticPr fontId="3"/>
  </si>
  <si>
    <t>17(↑3進後18(復活SSRチケ))+12+(16+16),14(復活SSRチケ),14(復活SSRチケ),10(LMG),10(LMG)</t>
    <rPh sb="5" eb="7">
      <t>シンゴ</t>
    </rPh>
    <phoneticPr fontId="3"/>
  </si>
  <si>
    <t>桃の音色</t>
    <phoneticPr fontId="3"/>
  </si>
  <si>
    <t>もものびわそうしゃ</t>
    <phoneticPr fontId="3"/>
  </si>
  <si>
    <t>桃の琵琶奏者</t>
    <phoneticPr fontId="3"/>
  </si>
  <si>
    <t>タイプ神秘・知性派・飲食の攻40％UP　/　所属が【東日本】と、それに属する地方・県、および【全国】の防40％DOWN</t>
    <phoneticPr fontId="3"/>
  </si>
  <si>
    <t>魔法使いの下働き</t>
    <phoneticPr fontId="3"/>
  </si>
  <si>
    <t>ももせっくすみれ</t>
    <phoneticPr fontId="3"/>
  </si>
  <si>
    <t>【桃節句】すみれ</t>
    <phoneticPr fontId="3"/>
  </si>
  <si>
    <t>同盟戦 2022年4月,5月,6月</t>
    <rPh sb="0" eb="2">
      <t>ドウメイ</t>
    </rPh>
    <rPh sb="2" eb="3">
      <t>セン</t>
    </rPh>
    <rPh sb="8" eb="9">
      <t>ネン</t>
    </rPh>
    <rPh sb="10" eb="11">
      <t>ガツ</t>
    </rPh>
    <rPh sb="13" eb="14">
      <t>ガツ</t>
    </rPh>
    <rPh sb="16" eb="17">
      <t>ガツ</t>
    </rPh>
    <phoneticPr fontId="3"/>
  </si>
  <si>
    <t>龍造寺隆信</t>
    <phoneticPr fontId="3"/>
  </si>
  <si>
    <t>疑心暗鬼の暴君</t>
    <rPh sb="0" eb="4">
      <t>ギシンアンキ</t>
    </rPh>
    <rPh sb="5" eb="7">
      <t>ボウクン</t>
    </rPh>
    <phoneticPr fontId="3"/>
  </si>
  <si>
    <t>スイートコーン</t>
    <phoneticPr fontId="3"/>
  </si>
  <si>
    <t>すいーとこーん</t>
    <phoneticPr fontId="3"/>
  </si>
  <si>
    <t>甘い豊穣</t>
    <phoneticPr fontId="3"/>
  </si>
  <si>
    <t>タイプ神秘・知性派の攻50％UP　/　所属が【北海道・東北】とそれに属する県、および【全国】【東日本】の攻30％UP</t>
    <phoneticPr fontId="3"/>
  </si>
  <si>
    <t>ミモザ</t>
    <phoneticPr fontId="3"/>
  </si>
  <si>
    <t>幸せをあなたに</t>
    <phoneticPr fontId="3"/>
  </si>
  <si>
    <t>タイプ飲食・妖怪の防50％UP　/　所属が【関東】とそれに属する県、および【全国】【東日本】の防30％UP</t>
    <phoneticPr fontId="3"/>
  </si>
  <si>
    <t>みもざ</t>
    <phoneticPr fontId="3"/>
  </si>
  <si>
    <t>小人のリーリィ</t>
    <phoneticPr fontId="3"/>
  </si>
  <si>
    <t>こびとのりーりぃ</t>
    <phoneticPr fontId="3"/>
  </si>
  <si>
    <t>繊細な小人</t>
    <phoneticPr fontId="3"/>
  </si>
  <si>
    <t>タイプ武人・姫の攻50％UP　/　所属が【中部】とそれに属する県、および【全国】【東日本】の攻30％UP</t>
    <phoneticPr fontId="3"/>
  </si>
  <si>
    <t>吉野茶屋の八重</t>
    <phoneticPr fontId="3"/>
  </si>
  <si>
    <t>よしのちゃやのやえ</t>
    <phoneticPr fontId="3"/>
  </si>
  <si>
    <t>豪快看板娘</t>
    <phoneticPr fontId="3"/>
  </si>
  <si>
    <t>タイプ姫・伝承の防50％UP　/　所属が【近畿】とそれに属する県、および【全国】【西日本】の防30％UP</t>
    <phoneticPr fontId="3"/>
  </si>
  <si>
    <t>六弦のアリア</t>
    <phoneticPr fontId="3"/>
  </si>
  <si>
    <t>むげんのありあ</t>
    <phoneticPr fontId="3"/>
  </si>
  <si>
    <t>ホワイルマイギター</t>
    <phoneticPr fontId="3"/>
  </si>
  <si>
    <t>タイプ神秘・飲食の攻50％UP　/　所属が【中国・四国】とそれに属する県、および【全国】【西日本】の攻30％UP</t>
    <phoneticPr fontId="3"/>
  </si>
  <si>
    <t>タイプ知性派・飲食の攻50％UP　/　所属が【九州・沖縄】とそれに属する県、および【全国】【西日本】の攻30％UP</t>
    <phoneticPr fontId="3"/>
  </si>
  <si>
    <t>知恵の秘密</t>
    <phoneticPr fontId="3"/>
  </si>
  <si>
    <t>ぺねむ</t>
    <phoneticPr fontId="3"/>
  </si>
  <si>
    <t>ペネム</t>
    <phoneticPr fontId="3"/>
  </si>
  <si>
    <t xml:space="preserve">ガチャ 2019/10/6, 11/6, 12/6, 2020/1/6, 2/6, 3/6, 4/6, 5/11, 6/11, 7/11, 8/6, 8/28, 9/17, 10/12, 11/6, 12/12, </t>
    <phoneticPr fontId="3"/>
  </si>
  <si>
    <t>予25+18+19,18</t>
    <phoneticPr fontId="3"/>
  </si>
  <si>
    <t>引20</t>
  </si>
  <si>
    <t>引20</t>
    <phoneticPr fontId="3"/>
  </si>
  <si>
    <t>ガチャ 2022/3/6, 3/30</t>
    <phoneticPr fontId="3"/>
  </si>
  <si>
    <t>2022/1/11, 2/27, 4/16</t>
  </si>
  <si>
    <t>ガチャ 2020/12/3, 2021/1/3, 2/3, 3/7, 4/3, 5/3, 6/13, 7/18, 9/24, 10/27, 11/28, 2022/1/16, 3/11, 4/20</t>
    <phoneticPr fontId="3"/>
  </si>
  <si>
    <t>ガチャ 2021/12/6, 2022/1/20, 3/16, 4/24</t>
    <phoneticPr fontId="3"/>
  </si>
  <si>
    <t>ガチャ 2021/10/12, 11/17, 12/12, 2022/1/7, 2/7, 3/7, 4/4, 4/30</t>
    <phoneticPr fontId="3"/>
  </si>
  <si>
    <t>ガチャ 2020/6/3, 7/3, 8/3, 9/7, 10/7, 11/7, 12/13, 2021/1/13, 6/29, 7/31, 8/30, 12/11, 2022/3/20, 4/28</t>
    <phoneticPr fontId="3"/>
  </si>
  <si>
    <t>予26+19+20,19,18</t>
    <rPh sb="0" eb="1">
      <t>ヨ</t>
    </rPh>
    <phoneticPr fontId="3"/>
  </si>
  <si>
    <t>予26+17+(24+24),14,14,14,14</t>
    <phoneticPr fontId="3"/>
  </si>
  <si>
    <t>余引14x5</t>
    <rPh sb="1" eb="2">
      <t>イン</t>
    </rPh>
    <phoneticPr fontId="3"/>
  </si>
  <si>
    <t>【花粉襲来】星神様</t>
    <phoneticPr fontId="3"/>
  </si>
  <si>
    <t>かふんしゅうらいほしがみさま</t>
    <phoneticPr fontId="3"/>
  </si>
  <si>
    <t>タイプ伝承・武人・姫の攻80％DOWN　/　タイプ武人・姫の防25％UP</t>
    <phoneticPr fontId="3"/>
  </si>
  <si>
    <t>流星操りし脅威の光</t>
    <phoneticPr fontId="3"/>
  </si>
  <si>
    <t>タイプ偉人・妖怪・名物の防35％UP　/　タイプ武人・伝承の攻15％DOWN</t>
    <phoneticPr fontId="3"/>
  </si>
  <si>
    <t>スカート捲る春一番</t>
    <phoneticPr fontId="3"/>
  </si>
  <si>
    <t>はるいちばんはらじゅくろりーたちゃん</t>
    <phoneticPr fontId="3"/>
  </si>
  <si>
    <t>【春一番】原宿ロリータちゃん</t>
    <phoneticPr fontId="3"/>
  </si>
  <si>
    <t>タイプ神秘・知性派の攻40％UP　/　タイプ【飲食】の攻25％UP</t>
    <phoneticPr fontId="3"/>
  </si>
  <si>
    <t>ホワイトは豚骨の白！</t>
    <phoneticPr fontId="3"/>
  </si>
  <si>
    <t>ほわいとでーとんこつらーめん</t>
    <phoneticPr fontId="3"/>
  </si>
  <si>
    <t>【ホワイトデー】とんこつラーメン</t>
    <phoneticPr fontId="3"/>
  </si>
  <si>
    <t>徳川最後のカウボーイ</t>
    <phoneticPr fontId="3"/>
  </si>
  <si>
    <t>せいぶげきとくがわよしのぶ</t>
    <phoneticPr fontId="3"/>
  </si>
  <si>
    <t>【西部劇】徳川慶喜</t>
    <phoneticPr fontId="3"/>
  </si>
  <si>
    <t>2022/04/15 12:00～2022/06/15 11:59</t>
    <phoneticPr fontId="3"/>
  </si>
  <si>
    <t>2019/03防衛戦</t>
    <phoneticPr fontId="3"/>
  </si>
  <si>
    <t>2019/03四神戦</t>
    <phoneticPr fontId="3"/>
  </si>
  <si>
    <t>2019/03サイコロ</t>
    <phoneticPr fontId="3"/>
  </si>
  <si>
    <t>2019/03天下統一戦</t>
    <rPh sb="7" eb="9">
      <t>テンカ</t>
    </rPh>
    <rPh sb="9" eb="11">
      <t>トウイツ</t>
    </rPh>
    <rPh sb="11" eb="12">
      <t>セン</t>
    </rPh>
    <phoneticPr fontId="3"/>
  </si>
  <si>
    <t>15+13+(15+13)</t>
    <phoneticPr fontId="3"/>
  </si>
  <si>
    <t>20+14+18,13</t>
    <phoneticPr fontId="3"/>
  </si>
  <si>
    <t>17+11+(15+12)</t>
    <phoneticPr fontId="3"/>
  </si>
  <si>
    <t>15(↑3進後18・古豪ガチャ)+13+(13+13)</t>
    <rPh sb="5" eb="6">
      <t>シン</t>
    </rPh>
    <rPh sb="6" eb="7">
      <t>ゴ</t>
    </rPh>
    <rPh sb="10" eb="12">
      <t>コゴウ</t>
    </rPh>
    <phoneticPr fontId="3"/>
  </si>
  <si>
    <t>2021/1/23, 2/17, 3/23, 4/23, 5/23, 6/23, 7/17, 8/8, 9/23, 10/29, 11/21, 12/17, 2022/1/12, 2/12, 3/13, 4/7, 5/4</t>
    <phoneticPr fontId="3"/>
  </si>
  <si>
    <t>23+17+18,15,17 15(↑3進後16)+竜+(14+14),15,16</t>
    <rPh sb="20" eb="21">
      <t>シン</t>
    </rPh>
    <rPh sb="21" eb="22">
      <t>ゴ</t>
    </rPh>
    <rPh sb="26" eb="27">
      <t>リュウ</t>
    </rPh>
    <phoneticPr fontId="3"/>
  </si>
  <si>
    <t>24+16+22,16 16+14+(15+14),15,15,15</t>
    <phoneticPr fontId="3"/>
  </si>
  <si>
    <t>【白銀】ジャンヌ・ダルク</t>
    <phoneticPr fontId="3"/>
  </si>
  <si>
    <t>28+23+(24+23),16,22,22 消滅27,21</t>
    <rPh sb="23" eb="25">
      <t>ショウメツ</t>
    </rPh>
    <phoneticPr fontId="3"/>
  </si>
  <si>
    <t>27+22+(25+23),15,15,16,16</t>
    <phoneticPr fontId="3"/>
  </si>
  <si>
    <t>27,25,21,21,18,16,16</t>
    <phoneticPr fontId="3"/>
  </si>
  <si>
    <t>14(↑3進化後16→29)+?+(?+?)</t>
    <rPh sb="5" eb="7">
      <t>シンカ</t>
    </rPh>
    <rPh sb="7" eb="8">
      <t>ゴ</t>
    </rPh>
    <phoneticPr fontId="3"/>
  </si>
  <si>
    <t>引5</t>
  </si>
  <si>
    <t>引5</t>
    <phoneticPr fontId="3"/>
  </si>
  <si>
    <t>ガチャ 2020/9/3, 10/3, 11/3, 12/7, 2021/1/7, 2/7, 3/13, 4/7, 5/8, 6/18, 7/24, 9/29, 11/6, 12/15, 2022/2/6, 3/24, 5/6</t>
    <phoneticPr fontId="3"/>
  </si>
  <si>
    <t>ガチャ 2020/2/4, 2/28, 3/23, 5/7</t>
    <phoneticPr fontId="3"/>
  </si>
  <si>
    <t>ガチャ 2021/6/3, 7/3, 8/3, 9/7, 9/30, 10/3, 10/11, 11/11, 12/20, 2022/2/11, 3/29, 5/11</t>
    <phoneticPr fontId="3"/>
  </si>
  <si>
    <t>ガチャ 2022/3/4, 3/30, 4/17, 5/13</t>
    <phoneticPr fontId="3"/>
  </si>
  <si>
    <t>26+24+25,17,17,20,(16+15+(16+15),14)</t>
    <phoneticPr fontId="3"/>
  </si>
  <si>
    <t>26+竜+18,(16+14+(16+15))</t>
    <rPh sb="3" eb="4">
      <t>リュウ</t>
    </rPh>
    <phoneticPr fontId="3"/>
  </si>
  <si>
    <t>27+25+25,17,(15+15+(15+15),12,14)</t>
    <phoneticPr fontId="3"/>
  </si>
  <si>
    <t>26+16+20,(19+13+(18+13),18,16,17,15)</t>
    <phoneticPr fontId="3"/>
  </si>
  <si>
    <t>15+13+(15+14),14(復活チケ),14(復活チケ),10(LMG),12(LMG)</t>
    <phoneticPr fontId="3"/>
  </si>
  <si>
    <t>ガチャ 2021/3/3, 3/27, 4/24, 5/24, 6/8, 8/7, 9/11, 10/16, 12/29, 2022/2/16, 4/6, 5/16</t>
    <phoneticPr fontId="3"/>
  </si>
  <si>
    <t>ガチャ 2021/9/3, 10/6, 2022/1/6, 2/20, 4/11, 5/20</t>
    <phoneticPr fontId="3"/>
  </si>
  <si>
    <t>ガチャ 2021/11/4, 11/29, 12/21, 2022/1/17, 2/17, 3/17, 4/23, 5/17</t>
    <phoneticPr fontId="3"/>
  </si>
  <si>
    <t>ガチャ 2022/1/4, 1/30, 2/23, 5/23</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</si>
</sst>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Yu Gothic"/>
      <family val="2"/>
      <scheme val="minor"/>
    </font>
    <font>
      <sz val="11"/>
      <color theme="1"/>
      <name val="Yu Gothic"/>
      <family val="2"/>
      <scheme val="minor"/>
    </font>
    <font>
      <b/>
      <sz val="11"/>
      <color theme="0"/>
      <name val="Yu Gothic"/>
      <family val="2"/>
      <scheme val="minor"/>
    </font>
    <font>
      <sz val="6"/>
      <name val="Yu Gothic"/>
      <family val="3"/>
      <charset val="128"/>
      <scheme val="minor"/>
    </font>
    <font>
      <b/>
      <sz val="11"/>
      <color theme="0"/>
      <name val="Yu Gothic"/>
      <family val="3"/>
      <charset val="128"/>
      <scheme val="minor"/>
    </font>
    <font>
      <b/>
      <sz val="11"/>
      <color theme="0"/>
      <name val="Yu Gothic"/>
      <family val="3"/>
      <charset val="128"/>
    </font>
    <font>
      <sz val="11"/>
      <color theme="1"/>
      <name val="Yu Gothic"/>
      <family val="3"/>
      <charset val="128"/>
      <scheme val="minor"/>
    </font>
    <font>
      <u/>
      <sz val="11"/>
      <color theme="10"/>
      <name val="Yu Gothic"/>
      <family val="2"/>
      <scheme val="minor"/>
    </font>
    <font>
      <sz val="11"/>
      <color rgb="FFC00000"/>
      <name val="Yu Gothic"/>
      <family val="2"/>
      <scheme val="minor"/>
    </font>
  </fonts>
  <fills count="6">
    <fill>
      <patternFill patternType="none"/>
    </fill>
    <fill>
      <patternFill patternType="gray125"/>
    </fill>
    <fill>
      <patternFill patternType="solid">
        <fgColor theme="8" tint="0.79998168889431442"/>
        <bgColor indexed="64"/>
      </patternFill>
    </fill>
    <fill>
      <patternFill patternType="solid">
        <fgColor theme="1" tint="0.24994659260841701"/>
        <bgColor indexed="64"/>
      </patternFill>
    </fill>
    <fill>
      <patternFill patternType="solid">
        <fgColor theme="1" tint="0.499984740745262"/>
        <bgColor indexed="64"/>
      </patternFill>
    </fill>
    <fill>
      <patternFill patternType="solid">
        <fgColor theme="2" tint="-9.9948118533890809E-2"/>
        <bgColor indexed="64"/>
      </patternFill>
    </fill>
  </fills>
  <borders count="1">
    <border>
      <left/>
      <right/>
      <top/>
      <bottom/>
      <diagonal/>
    </border>
  </borders>
  <cellStyleXfs count="2">
    <xf numFmtId="0" fontId="0" fillId="0" borderId="0"/>
    <xf numFmtId="0" fontId="7" fillId="0" borderId="0" applyNumberFormat="0" applyFill="0" applyBorder="0" applyAlignment="0" applyProtection="0"/>
  </cellStyleXfs>
  <cellXfs count="99">
    <xf numFmtId="0" fontId="0" fillId="0" borderId="0" xfId="0"/>
    <xf numFmtId="0" fontId="0" fillId="0" borderId="0" xfId="0" applyAlignment="1">
      <alignment vertical="center"/>
    </xf>
    <xf numFmtId="0" fontId="1" fillId="0" borderId="0" xfId="0" applyFont="1" applyAlignment="1">
      <alignment vertical="center"/>
    </xf>
    <xf numFmtId="0" fontId="1" fillId="0" borderId="0" xfId="0" applyFont="1" applyAlignment="1">
      <alignment vertical="center" wrapText="1"/>
    </xf>
    <xf numFmtId="0" fontId="0" fillId="0" borderId="0" xfId="0" applyAlignment="1">
      <alignment vertical="center" wrapText="1"/>
    </xf>
    <xf numFmtId="14" fontId="0" fillId="0" borderId="0" xfId="0" applyNumberFormat="1" applyAlignment="1">
      <alignment vertical="center"/>
    </xf>
    <xf numFmtId="0" fontId="6" fillId="0" borderId="0" xfId="0" applyFont="1" applyAlignment="1">
      <alignment vertical="center"/>
    </xf>
    <xf numFmtId="0" fontId="0" fillId="2" borderId="0" xfId="0" applyFill="1" applyAlignment="1">
      <alignment vertical="center"/>
    </xf>
    <xf numFmtId="0" fontId="7" fillId="0" borderId="0" xfId="1" applyAlignment="1">
      <alignment vertical="center"/>
    </xf>
    <xf numFmtId="0" fontId="7" fillId="2" borderId="0" xfId="1" applyFill="1" applyAlignment="1">
      <alignment vertical="center"/>
    </xf>
    <xf numFmtId="14" fontId="1" fillId="0" borderId="0" xfId="0" applyNumberFormat="1" applyFont="1" applyAlignment="1">
      <alignment vertical="center"/>
    </xf>
    <xf numFmtId="0" fontId="2" fillId="3" borderId="0" xfId="0" applyFont="1" applyFill="1" applyAlignment="1">
      <alignment horizontal="center" vertical="center"/>
    </xf>
    <xf numFmtId="0" fontId="4" fillId="3" borderId="0" xfId="0" applyFont="1" applyFill="1" applyAlignment="1">
      <alignment horizontal="center" vertical="center"/>
    </xf>
    <xf numFmtId="0" fontId="5" fillId="3" borderId="0" xfId="0" applyFont="1" applyFill="1" applyAlignment="1">
      <alignment horizontal="center" vertical="center"/>
    </xf>
    <xf numFmtId="0" fontId="0" fillId="0" borderId="0" xfId="0" applyFill="1" applyAlignment="1">
      <alignment vertical="center"/>
    </xf>
    <xf numFmtId="0" fontId="7" fillId="0" borderId="0" xfId="1" applyFill="1" applyAlignment="1">
      <alignment vertical="center"/>
    </xf>
    <xf numFmtId="14" fontId="0" fillId="0" borderId="0" xfId="0" applyNumberFormat="1" applyFill="1" applyAlignment="1">
      <alignment vertical="center"/>
    </xf>
    <xf numFmtId="0" fontId="0" fillId="0" borderId="0" xfId="0" applyFont="1" applyAlignment="1">
      <alignment vertical="center"/>
    </xf>
    <xf numFmtId="0" fontId="0" fillId="4" borderId="0" xfId="0" applyFill="1"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1" applyNumberFormat="1" applyFont="1" applyFill="1" applyBorder="1" applyAlignment="1" applyProtection="1">
      <alignment vertical="center"/>
    </xf>
    <xf numFmtId="0" fontId="0" fillId="2" borderId="0" xfId="1" applyNumberFormat="1" applyFont="1" applyFill="1" applyBorder="1" applyAlignment="1" applyProtection="1">
      <alignment vertical="center"/>
    </xf>
    <xf numFmtId="0" fontId="0" fillId="0" borderId="0" xfId="0" applyAlignment="1">
      <alignment vertical="center"/>
    </xf>
    <xf numFmtId="0" fontId="0" fillId="0" borderId="0" xfId="0" applyAlignment="1">
      <alignment vertical="center"/>
    </xf>
    <xf numFmtId="0" fontId="6" fillId="0" borderId="0" xfId="1" applyNumberFormat="1" applyFont="1" applyFill="1" applyBorder="1" applyAlignment="1" applyProtection="1">
      <alignment vertical="center"/>
    </xf>
    <xf numFmtId="0" fontId="0" fillId="0" borderId="0" xfId="1" applyFont="1" applyAlignment="1">
      <alignment vertical="center"/>
    </xf>
    <xf numFmtId="0" fontId="0" fillId="0" borderId="0" xfId="0" applyAlignment="1">
      <alignment vertical="center"/>
    </xf>
    <xf numFmtId="0" fontId="0" fillId="2" borderId="0" xfId="0" applyFill="1"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5" borderId="0" xfId="0" applyFill="1"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2" borderId="0" xfId="0" applyFill="1"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8" fillId="0" borderId="0" xfId="0" applyFont="1"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1" fillId="0" borderId="0" xfId="0" applyFont="1" applyFill="1" applyAlignment="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18F1BD-E64A-426B-B49B-B120651720AF}">
  <dimension ref="A1:Q211"/>
  <sheetViews>
    <sheetView tabSelected="1" zoomScale="55" zoomScaleNormal="55" workbookViewId="0">
      <pane ySplit="1" topLeftCell="A2" activePane="bottomLeft" state="frozen"/>
      <selection pane="bottomLeft"/>
    </sheetView>
  </sheetViews>
  <sheetFormatPr defaultColWidth="8.9140625" defaultRowHeight="18"/>
  <cols>
    <col min="1" max="1" width="15.08203125" style="1" customWidth="1"/>
    <col min="2" max="2" width="6.33203125" style="1" customWidth="1"/>
    <col min="3" max="3" width="10.5" style="1" customWidth="1"/>
    <col min="4" max="4" width="5.6640625" style="1" customWidth="1"/>
    <col min="5" max="5" width="25.83203125" style="1" customWidth="1"/>
    <col min="6" max="6" width="3.9140625" style="20" customWidth="1"/>
    <col min="7" max="7" width="29.08203125" style="1" hidden="1" customWidth="1"/>
    <col min="8" max="11" width="5.25" style="1" hidden="1" customWidth="1"/>
    <col min="12" max="12" width="20.75" style="1" hidden="1" customWidth="1"/>
    <col min="13" max="13" width="4.75" style="1" customWidth="1"/>
    <col min="14" max="15" width="7.33203125" style="1" customWidth="1"/>
    <col min="16" max="16" width="12.4140625" style="1" hidden="1" customWidth="1"/>
    <col min="17" max="17" width="65.9140625" style="1" customWidth="1"/>
    <col min="18" max="16384" width="8.9140625" style="1"/>
  </cols>
  <sheetData>
    <row r="1" spans="1:17">
      <c r="A1" s="12" t="s">
        <v>639</v>
      </c>
      <c r="B1" s="13" t="s">
        <v>583</v>
      </c>
      <c r="C1" s="13" t="s">
        <v>0</v>
      </c>
      <c r="D1" s="13" t="s">
        <v>1</v>
      </c>
      <c r="E1" s="13" t="s">
        <v>2</v>
      </c>
      <c r="F1" s="13" t="s">
        <v>2126</v>
      </c>
      <c r="G1" s="13" t="s">
        <v>637</v>
      </c>
      <c r="H1" s="13">
        <v>10</v>
      </c>
      <c r="I1" s="13">
        <v>11</v>
      </c>
      <c r="J1" s="13">
        <v>12</v>
      </c>
      <c r="K1" s="13">
        <v>13</v>
      </c>
      <c r="L1" s="13" t="s">
        <v>1040</v>
      </c>
      <c r="M1" s="12" t="s">
        <v>114</v>
      </c>
      <c r="N1" s="12" t="s">
        <v>657</v>
      </c>
      <c r="O1" s="12" t="s">
        <v>658</v>
      </c>
      <c r="P1" s="12" t="s">
        <v>4</v>
      </c>
      <c r="Q1" s="12" t="s">
        <v>2803</v>
      </c>
    </row>
    <row r="2" spans="1:17">
      <c r="A2" s="2"/>
      <c r="B2" s="2"/>
      <c r="C2" s="2"/>
      <c r="M2" s="2"/>
      <c r="N2" s="65" t="s">
        <v>3015</v>
      </c>
      <c r="O2" s="2"/>
    </row>
    <row r="3" spans="1:17">
      <c r="A3" s="2" t="s">
        <v>708</v>
      </c>
      <c r="B3" s="28"/>
      <c r="C3" s="2"/>
      <c r="D3" s="2"/>
      <c r="E3" s="2"/>
      <c r="F3" s="2"/>
      <c r="G3" s="2"/>
      <c r="H3" s="2"/>
      <c r="I3" s="2"/>
      <c r="J3" s="2"/>
      <c r="K3" s="2"/>
      <c r="L3" s="2"/>
      <c r="M3" s="2"/>
      <c r="N3" s="1" t="s">
        <v>3014</v>
      </c>
      <c r="O3" s="2"/>
      <c r="P3" s="2"/>
      <c r="Q3" s="2"/>
    </row>
    <row r="4" spans="1:17">
      <c r="A4" s="1" t="s">
        <v>549</v>
      </c>
      <c r="B4" s="28"/>
      <c r="C4" s="2"/>
      <c r="D4" s="2"/>
      <c r="E4" s="2"/>
      <c r="F4" s="2"/>
      <c r="G4" s="2"/>
      <c r="H4" s="2"/>
      <c r="I4" s="2"/>
      <c r="J4" s="2"/>
      <c r="K4" s="2"/>
      <c r="L4" s="2"/>
      <c r="M4" s="2"/>
      <c r="N4" s="1" t="s">
        <v>3043</v>
      </c>
      <c r="O4" s="2"/>
      <c r="P4" s="2"/>
      <c r="Q4" s="2"/>
    </row>
    <row r="5" spans="1:17">
      <c r="A5" s="1" t="s">
        <v>478</v>
      </c>
      <c r="B5" s="2">
        <v>52243</v>
      </c>
      <c r="C5" s="2" t="s">
        <v>213</v>
      </c>
      <c r="D5" s="2" t="s">
        <v>123</v>
      </c>
      <c r="E5" s="2" t="s">
        <v>283</v>
      </c>
      <c r="F5" s="8" t="str">
        <f>HYPERLINK("https://stat100.ameba.jp/tnk47/ratio20/illustrations/card/ill_52243_ameutajakurenhoshi03.jpg", "■")</f>
        <v>■</v>
      </c>
      <c r="G5" s="1" t="s">
        <v>284</v>
      </c>
      <c r="L5" s="1" t="s">
        <v>1029</v>
      </c>
      <c r="M5" s="63">
        <v>13</v>
      </c>
      <c r="N5" s="63">
        <v>46586</v>
      </c>
      <c r="O5" s="63">
        <v>50106</v>
      </c>
      <c r="P5" s="1" t="s">
        <v>285</v>
      </c>
      <c r="Q5" s="1" t="s">
        <v>956</v>
      </c>
    </row>
    <row r="6" spans="1:17">
      <c r="A6" s="1" t="s">
        <v>479</v>
      </c>
      <c r="B6" s="2">
        <v>52143</v>
      </c>
      <c r="C6" s="2" t="s">
        <v>276</v>
      </c>
      <c r="D6" s="2" t="s">
        <v>74</v>
      </c>
      <c r="E6" s="2" t="s">
        <v>286</v>
      </c>
      <c r="F6" s="8" t="str">
        <f>HYPERLINK("https://stat100.ameba.jp/tnk47/ratio20/illustrations/card/ill_52143_meianshinigami03.jpg", "■")</f>
        <v>■</v>
      </c>
      <c r="G6" s="1" t="s">
        <v>287</v>
      </c>
      <c r="L6" s="1" t="s">
        <v>2987</v>
      </c>
      <c r="M6" s="63">
        <v>13</v>
      </c>
      <c r="N6" s="65" t="s">
        <v>3006</v>
      </c>
      <c r="O6" s="65" t="s">
        <v>3007</v>
      </c>
      <c r="P6" s="1" t="s">
        <v>288</v>
      </c>
      <c r="Q6" s="1" t="s">
        <v>957</v>
      </c>
    </row>
    <row r="7" spans="1:17">
      <c r="A7" s="1" t="s">
        <v>656</v>
      </c>
      <c r="B7" s="2">
        <v>51683</v>
      </c>
      <c r="C7" s="2" t="s">
        <v>217</v>
      </c>
      <c r="D7" s="2" t="s">
        <v>209</v>
      </c>
      <c r="E7" s="2" t="s">
        <v>289</v>
      </c>
      <c r="F7" s="8" t="str">
        <f>HYPERLINK("https://stat100.ameba.jp/tnk47/ratio20/illustrations/card/ill_51683_koakumanohime03.jpg", "■")</f>
        <v>■</v>
      </c>
      <c r="G7" s="1" t="s">
        <v>290</v>
      </c>
      <c r="L7" s="1" t="s">
        <v>2988</v>
      </c>
      <c r="M7" s="63">
        <v>13</v>
      </c>
      <c r="N7" s="65" t="s">
        <v>3009</v>
      </c>
      <c r="O7" s="65" t="s">
        <v>3008</v>
      </c>
      <c r="P7" s="1" t="s">
        <v>291</v>
      </c>
      <c r="Q7" s="2" t="s">
        <v>958</v>
      </c>
    </row>
    <row r="8" spans="1:17">
      <c r="A8" s="1" t="s">
        <v>553</v>
      </c>
      <c r="B8" s="2">
        <v>51623</v>
      </c>
      <c r="C8" s="2" t="s">
        <v>292</v>
      </c>
      <c r="D8" s="2" t="s">
        <v>209</v>
      </c>
      <c r="E8" s="2" t="s">
        <v>293</v>
      </c>
      <c r="F8" s="8" t="str">
        <f>HYPERLINK("https://stat100.ameba.jp/tnk47/ratio20/illustrations/card/ill_51623_yamagaruatsuhime03.jpg", "■")</f>
        <v>■</v>
      </c>
      <c r="G8" s="1" t="s">
        <v>294</v>
      </c>
      <c r="L8" s="1" t="s">
        <v>1030</v>
      </c>
      <c r="M8" s="1">
        <v>13</v>
      </c>
      <c r="N8" s="1" t="s">
        <v>802</v>
      </c>
      <c r="O8" s="1" t="s">
        <v>802</v>
      </c>
      <c r="P8" s="1" t="s">
        <v>295</v>
      </c>
      <c r="Q8" s="2" t="s">
        <v>959</v>
      </c>
    </row>
    <row r="10" spans="1:17" s="80" customFormat="1"/>
    <row r="11" spans="1:17">
      <c r="A11" s="1" t="s">
        <v>548</v>
      </c>
      <c r="B11" s="28"/>
      <c r="C11" s="2"/>
      <c r="D11" s="2"/>
      <c r="E11" s="2"/>
      <c r="F11" s="2"/>
      <c r="G11" s="2"/>
      <c r="H11" s="2"/>
      <c r="I11" s="2"/>
      <c r="J11" s="2"/>
      <c r="K11" s="2"/>
      <c r="L11" s="2"/>
      <c r="M11" s="2"/>
      <c r="N11" s="2"/>
      <c r="O11" s="2"/>
      <c r="P11" s="2"/>
      <c r="Q11" s="2"/>
    </row>
    <row r="12" spans="1:17">
      <c r="A12" s="1" t="s">
        <v>551</v>
      </c>
      <c r="B12" s="2">
        <v>45413</v>
      </c>
      <c r="C12" s="2" t="s">
        <v>217</v>
      </c>
      <c r="D12" s="2" t="s">
        <v>119</v>
      </c>
      <c r="E12" s="2" t="s">
        <v>270</v>
      </c>
      <c r="F12" s="8" t="str">
        <f>HYPERLINK("https://stat100.ameba.jp/tnk47/ratio20/illustrations/card/ill_45413_yukihyo03.jpg", "■")</f>
        <v>■</v>
      </c>
      <c r="G12" s="1" t="s">
        <v>271</v>
      </c>
      <c r="L12" s="1" t="s">
        <v>1026</v>
      </c>
      <c r="M12" s="1">
        <v>13</v>
      </c>
      <c r="N12" s="1" t="s">
        <v>802</v>
      </c>
      <c r="O12" s="1" t="s">
        <v>802</v>
      </c>
      <c r="P12" s="1" t="s">
        <v>272</v>
      </c>
      <c r="Q12" s="1" t="s">
        <v>952</v>
      </c>
    </row>
    <row r="13" spans="1:17">
      <c r="A13" s="1" t="s">
        <v>476</v>
      </c>
      <c r="B13" s="2">
        <v>53093</v>
      </c>
      <c r="C13" s="2" t="s">
        <v>213</v>
      </c>
      <c r="D13" s="2" t="s">
        <v>44</v>
      </c>
      <c r="E13" s="2" t="s">
        <v>273</v>
      </c>
      <c r="F13" s="8" t="str">
        <f>HYPERLINK("https://stat100.ameba.jp/tnk47/ratio20/illustrations/card/ill_53093_ruriiro03.jpg", "■")</f>
        <v>■</v>
      </c>
      <c r="G13" s="1" t="s">
        <v>274</v>
      </c>
      <c r="L13" s="1" t="s">
        <v>2989</v>
      </c>
      <c r="M13" s="63">
        <v>13</v>
      </c>
      <c r="N13" s="65" t="s">
        <v>3007</v>
      </c>
      <c r="O13" s="65" t="s">
        <v>3006</v>
      </c>
      <c r="P13" s="1" t="s">
        <v>275</v>
      </c>
      <c r="Q13" s="1" t="s">
        <v>953</v>
      </c>
    </row>
    <row r="14" spans="1:17">
      <c r="A14" s="1" t="s">
        <v>655</v>
      </c>
      <c r="B14" s="2">
        <v>52913</v>
      </c>
      <c r="C14" s="2" t="s">
        <v>276</v>
      </c>
      <c r="D14" s="2" t="s">
        <v>67</v>
      </c>
      <c r="E14" s="2" t="s">
        <v>277</v>
      </c>
      <c r="F14" s="8" t="str">
        <f>HYPERLINK("https://stat100.ameba.jp/tnk47/ratio20/illustrations/card/ill_52913_kantoribaku03.jpg", "■")</f>
        <v>■</v>
      </c>
      <c r="G14" s="1" t="s">
        <v>278</v>
      </c>
      <c r="L14" s="1" t="s">
        <v>1027</v>
      </c>
      <c r="M14" s="63">
        <v>13</v>
      </c>
      <c r="N14" s="63">
        <v>46586</v>
      </c>
      <c r="O14" s="63">
        <v>50106</v>
      </c>
      <c r="P14" s="1" t="s">
        <v>279</v>
      </c>
      <c r="Q14" s="1" t="s">
        <v>954</v>
      </c>
    </row>
    <row r="15" spans="1:17">
      <c r="A15" s="1" t="s">
        <v>477</v>
      </c>
      <c r="B15" s="2">
        <v>52763</v>
      </c>
      <c r="C15" s="2" t="s">
        <v>276</v>
      </c>
      <c r="D15" s="2" t="s">
        <v>169</v>
      </c>
      <c r="E15" s="2" t="s">
        <v>280</v>
      </c>
      <c r="F15" s="8" t="str">
        <f>HYPERLINK("https://stat100.ameba.jp/tnk47/ratio20/illustrations/card/ill_52763_keijiyamaokatesshu03.jpg", "■")</f>
        <v>■</v>
      </c>
      <c r="G15" s="1" t="s">
        <v>281</v>
      </c>
      <c r="L15" s="1" t="s">
        <v>1028</v>
      </c>
      <c r="M15" s="63">
        <v>13</v>
      </c>
      <c r="N15" s="63">
        <v>50106</v>
      </c>
      <c r="O15" s="63">
        <v>46586</v>
      </c>
      <c r="P15" s="1" t="s">
        <v>282</v>
      </c>
      <c r="Q15" s="1" t="s">
        <v>955</v>
      </c>
    </row>
    <row r="17" spans="1:17">
      <c r="A17" s="1" t="s">
        <v>547</v>
      </c>
      <c r="B17" s="28"/>
      <c r="C17" s="2"/>
      <c r="D17" s="2"/>
      <c r="E17" s="2"/>
      <c r="F17" s="2"/>
      <c r="G17" s="2"/>
      <c r="H17" s="2"/>
      <c r="I17" s="2"/>
      <c r="J17" s="2"/>
      <c r="K17" s="2"/>
      <c r="L17" s="2"/>
      <c r="M17" s="2"/>
      <c r="N17" s="2"/>
      <c r="O17" s="2"/>
      <c r="P17" s="2"/>
      <c r="Q17" s="2"/>
    </row>
    <row r="18" spans="1:17">
      <c r="A18" s="1" t="s">
        <v>654</v>
      </c>
      <c r="B18" s="2">
        <v>54033</v>
      </c>
      <c r="C18" s="2" t="s">
        <v>217</v>
      </c>
      <c r="D18" s="2" t="s">
        <v>67</v>
      </c>
      <c r="E18" s="1" t="s">
        <v>255</v>
      </c>
      <c r="F18" s="8" t="str">
        <f>HYPERLINK("https://stat100.ameba.jp/tnk47/ratio20/illustrations/card/ill_54033_kyampuryugunotsukai03.jpg", "■")</f>
        <v>■</v>
      </c>
      <c r="G18" s="1" t="s">
        <v>256</v>
      </c>
      <c r="L18" s="1" t="s">
        <v>1022</v>
      </c>
      <c r="M18" s="63">
        <v>13</v>
      </c>
      <c r="N18" s="63">
        <v>50106</v>
      </c>
      <c r="O18" s="63">
        <v>46586</v>
      </c>
      <c r="P18" s="1" t="s">
        <v>257</v>
      </c>
      <c r="Q18" s="2" t="s">
        <v>3070</v>
      </c>
    </row>
    <row r="19" spans="1:17">
      <c r="A19" s="1" t="s">
        <v>486</v>
      </c>
      <c r="B19" s="2">
        <v>53883</v>
      </c>
      <c r="C19" s="2" t="s">
        <v>217</v>
      </c>
      <c r="D19" s="2" t="s">
        <v>119</v>
      </c>
      <c r="E19" s="2" t="s">
        <v>258</v>
      </c>
      <c r="F19" s="8" t="str">
        <f>HYPERLINK("https://stat100.ameba.jp/tnk47/ratio20/illustrations/card/ill_53883_obakeyashikikubiwakomorichan03.jpg", "■")</f>
        <v>■</v>
      </c>
      <c r="G19" s="1" t="s">
        <v>259</v>
      </c>
      <c r="L19" s="1" t="s">
        <v>1023</v>
      </c>
      <c r="M19" s="63">
        <v>13</v>
      </c>
      <c r="N19" s="63">
        <v>50106</v>
      </c>
      <c r="O19" s="63">
        <v>46586</v>
      </c>
      <c r="P19" s="1" t="s">
        <v>260</v>
      </c>
      <c r="Q19" s="2" t="s">
        <v>3071</v>
      </c>
    </row>
    <row r="20" spans="1:17">
      <c r="A20" s="1" t="s">
        <v>473</v>
      </c>
      <c r="B20" s="2">
        <v>53563</v>
      </c>
      <c r="C20" s="2" t="s">
        <v>261</v>
      </c>
      <c r="D20" s="2" t="s">
        <v>59</v>
      </c>
      <c r="E20" s="2" t="s">
        <v>262</v>
      </c>
      <c r="F20" s="8" t="str">
        <f>HYPERLINK("https://stat100.ameba.jp/tnk47/ratio20/illustrations/card/ill_53563_kaiguntsuneyamagozen03.jpg", "■")</f>
        <v>■</v>
      </c>
      <c r="G20" s="1" t="s">
        <v>263</v>
      </c>
      <c r="L20" s="1" t="s">
        <v>1024</v>
      </c>
      <c r="M20" s="63">
        <v>13</v>
      </c>
      <c r="N20" s="63">
        <v>77063</v>
      </c>
      <c r="O20" s="63">
        <v>46586</v>
      </c>
      <c r="P20" s="1" t="s">
        <v>264</v>
      </c>
      <c r="Q20" s="2" t="s">
        <v>265</v>
      </c>
    </row>
    <row r="21" spans="1:17">
      <c r="A21" s="1" t="s">
        <v>269</v>
      </c>
      <c r="B21" s="2">
        <v>53363</v>
      </c>
      <c r="C21" s="2" t="s">
        <v>217</v>
      </c>
      <c r="D21" s="2" t="s">
        <v>123</v>
      </c>
      <c r="E21" s="2" t="s">
        <v>266</v>
      </c>
      <c r="F21" s="8" t="str">
        <f>HYPERLINK("https://stat100.ameba.jp/tnk47/ratio20/illustrations/card/ill_53363_miyabiwagakkishokyokusaitenkatsu03.jpg", "■")</f>
        <v>■</v>
      </c>
      <c r="G21" s="1" t="s">
        <v>267</v>
      </c>
      <c r="L21" s="1" t="s">
        <v>1025</v>
      </c>
      <c r="M21" s="63">
        <v>13</v>
      </c>
      <c r="N21" s="63">
        <v>52592</v>
      </c>
      <c r="O21" s="63">
        <v>47886</v>
      </c>
      <c r="P21" s="1" t="s">
        <v>268</v>
      </c>
      <c r="Q21" s="2" t="s">
        <v>2054</v>
      </c>
    </row>
    <row r="23" spans="1:17">
      <c r="A23" s="1" t="s">
        <v>546</v>
      </c>
      <c r="B23" s="28"/>
      <c r="C23" s="2"/>
      <c r="D23" s="2"/>
      <c r="E23" s="2"/>
      <c r="F23" s="2"/>
      <c r="G23" s="2"/>
      <c r="H23" s="2"/>
      <c r="I23" s="2"/>
      <c r="J23" s="2"/>
      <c r="K23" s="2"/>
      <c r="L23" s="2"/>
      <c r="M23" s="2"/>
      <c r="N23" s="2"/>
      <c r="O23" s="2"/>
      <c r="P23" s="2"/>
      <c r="Q23" s="2"/>
    </row>
    <row r="24" spans="1:17">
      <c r="A24" s="1" t="s">
        <v>552</v>
      </c>
      <c r="B24" s="2">
        <v>55053</v>
      </c>
      <c r="C24" s="28" t="s">
        <v>242</v>
      </c>
      <c r="D24" s="2" t="s">
        <v>74</v>
      </c>
      <c r="E24" s="2" t="s">
        <v>243</v>
      </c>
      <c r="F24" s="8" t="str">
        <f>HYPERLINK("https://stat100.ameba.jp/tnk47/ratio20/illustrations/card/ill_55053_kamimaitamamonomae03.jpg", "■")</f>
        <v>■</v>
      </c>
      <c r="G24" s="1" t="s">
        <v>244</v>
      </c>
      <c r="L24" s="1" t="s">
        <v>1018</v>
      </c>
      <c r="M24" s="1">
        <v>13</v>
      </c>
      <c r="N24" s="1" t="s">
        <v>802</v>
      </c>
      <c r="O24" s="1" t="s">
        <v>802</v>
      </c>
      <c r="P24" s="1" t="s">
        <v>245</v>
      </c>
      <c r="Q24" s="2" t="s">
        <v>949</v>
      </c>
    </row>
    <row r="25" spans="1:17">
      <c r="A25" s="1" t="s">
        <v>474</v>
      </c>
      <c r="B25" s="2">
        <v>54983</v>
      </c>
      <c r="C25" s="28" t="s">
        <v>217</v>
      </c>
      <c r="D25" s="2" t="s">
        <v>149</v>
      </c>
      <c r="E25" s="2" t="s">
        <v>246</v>
      </c>
      <c r="F25" s="8" t="str">
        <f>HYPERLINK("https://stat100.ameba.jp/tnk47/ratio20/illustrations/card/ill_54983_tanukiudonchan03.jpg", "■")</f>
        <v>■</v>
      </c>
      <c r="G25" s="1" t="s">
        <v>246</v>
      </c>
      <c r="L25" s="1" t="s">
        <v>1019</v>
      </c>
      <c r="M25" s="63">
        <v>13</v>
      </c>
      <c r="N25" s="63">
        <v>46586</v>
      </c>
      <c r="O25" s="63">
        <v>50106</v>
      </c>
      <c r="P25" s="1" t="s">
        <v>247</v>
      </c>
      <c r="Q25" s="2" t="s">
        <v>950</v>
      </c>
    </row>
    <row r="26" spans="1:17">
      <c r="A26" s="1" t="s">
        <v>653</v>
      </c>
      <c r="B26" s="2">
        <v>54683</v>
      </c>
      <c r="C26" s="2" t="s">
        <v>213</v>
      </c>
      <c r="D26" s="2" t="s">
        <v>169</v>
      </c>
      <c r="E26" s="2" t="s">
        <v>248</v>
      </c>
      <c r="F26" s="8" t="str">
        <f>HYPERLINK("https://stat100.ameba.jp/tnk47/ratio20/illustrations/card/ill_54683_okashiitsukushimanonaiji03.jpg", "■")</f>
        <v>■</v>
      </c>
      <c r="G26" s="1" t="s">
        <v>249</v>
      </c>
      <c r="L26" s="1" t="s">
        <v>1020</v>
      </c>
      <c r="M26" s="63">
        <v>13</v>
      </c>
      <c r="N26" s="63">
        <v>46586</v>
      </c>
      <c r="O26" s="63">
        <v>50106</v>
      </c>
      <c r="P26" s="1" t="s">
        <v>250</v>
      </c>
      <c r="Q26" s="2" t="s">
        <v>951</v>
      </c>
    </row>
    <row r="27" spans="1:17">
      <c r="A27" s="1" t="s">
        <v>475</v>
      </c>
      <c r="B27" s="2">
        <v>54933</v>
      </c>
      <c r="C27" s="2" t="s">
        <v>213</v>
      </c>
      <c r="D27" s="2" t="s">
        <v>59</v>
      </c>
      <c r="E27" s="2" t="s">
        <v>251</v>
      </c>
      <c r="F27" s="8" t="str">
        <f>HYPERLINK("https://stat100.ameba.jp/tnk47/ratio20/illustrations/card/ill_54933_rasetsuakechimitsuhide03.jpg", "■")</f>
        <v>■</v>
      </c>
      <c r="G27" s="1" t="s">
        <v>252</v>
      </c>
      <c r="L27" s="1" t="s">
        <v>1021</v>
      </c>
      <c r="M27" s="63">
        <v>13</v>
      </c>
      <c r="N27" s="63">
        <v>77063</v>
      </c>
      <c r="O27" s="63">
        <v>46586</v>
      </c>
      <c r="P27" s="1" t="s">
        <v>253</v>
      </c>
      <c r="Q27" s="2" t="s">
        <v>254</v>
      </c>
    </row>
    <row r="29" spans="1:17">
      <c r="A29" s="1" t="s">
        <v>545</v>
      </c>
      <c r="B29" s="28"/>
      <c r="C29" s="2"/>
      <c r="D29" s="2"/>
      <c r="E29" s="2"/>
      <c r="F29" s="2"/>
      <c r="G29" s="2"/>
      <c r="H29" s="2"/>
      <c r="I29" s="2"/>
      <c r="J29" s="2"/>
      <c r="K29" s="2"/>
      <c r="L29" s="2"/>
      <c r="M29" s="2"/>
      <c r="N29" s="2"/>
      <c r="O29" s="2"/>
      <c r="P29" s="2"/>
      <c r="Q29" s="2"/>
    </row>
    <row r="30" spans="1:17">
      <c r="A30" s="1" t="s">
        <v>470</v>
      </c>
      <c r="B30" s="2">
        <v>55343</v>
      </c>
      <c r="C30" s="2" t="s">
        <v>213</v>
      </c>
      <c r="D30" s="2" t="s">
        <v>169</v>
      </c>
      <c r="E30" s="3" t="s">
        <v>233</v>
      </c>
      <c r="F30" s="8" t="str">
        <f>HYPERLINK("https://stat100.ameba.jp/tnk47/ratio20/illustrations/card/ill_55343_burakkusakamotoryoma03.jpg", "■")</f>
        <v>■</v>
      </c>
      <c r="G30" s="4" t="s">
        <v>234</v>
      </c>
      <c r="H30" s="4"/>
      <c r="I30" s="4"/>
      <c r="J30" s="4"/>
      <c r="K30" s="4"/>
      <c r="L30" s="1" t="s">
        <v>1013</v>
      </c>
      <c r="M30" s="63">
        <v>13</v>
      </c>
      <c r="N30" s="63">
        <v>47886</v>
      </c>
      <c r="O30" s="63">
        <v>52592</v>
      </c>
      <c r="P30" s="1" t="s">
        <v>235</v>
      </c>
      <c r="Q30" s="2" t="s">
        <v>946</v>
      </c>
    </row>
    <row r="31" spans="1:17">
      <c r="A31" s="1" t="s">
        <v>472</v>
      </c>
      <c r="B31" s="2">
        <v>55763</v>
      </c>
      <c r="C31" s="2" t="s">
        <v>213</v>
      </c>
      <c r="D31" s="2" t="s">
        <v>44</v>
      </c>
      <c r="E31" s="2" t="s">
        <v>236</v>
      </c>
      <c r="F31" s="8" t="str">
        <f>HYPERLINK("https://stat100.ameba.jp/tnk47/ratio20/illustrations/card/ill_55763_hakataokunchi03.jpg", "■")</f>
        <v>■</v>
      </c>
      <c r="G31" s="1" t="s">
        <v>237</v>
      </c>
      <c r="L31" s="1" t="s">
        <v>1016</v>
      </c>
      <c r="M31" s="63">
        <v>13</v>
      </c>
      <c r="N31" s="63">
        <v>50106</v>
      </c>
      <c r="O31" s="63">
        <v>46586</v>
      </c>
      <c r="P31" s="1" t="s">
        <v>238</v>
      </c>
      <c r="Q31" s="2" t="s">
        <v>947</v>
      </c>
    </row>
    <row r="32" spans="1:17">
      <c r="A32" s="1" t="s">
        <v>652</v>
      </c>
      <c r="B32" s="2">
        <v>55443</v>
      </c>
      <c r="C32" s="2" t="s">
        <v>217</v>
      </c>
      <c r="D32" s="2" t="s">
        <v>59</v>
      </c>
      <c r="E32" s="2" t="s">
        <v>239</v>
      </c>
      <c r="F32" s="8" t="str">
        <f>HYPERLINK("https://stat100.ameba.jp/tnk47/ratio20/illustrations/card/ill_55443_kakutogimorirammaru03.jpg", "■")</f>
        <v>■</v>
      </c>
      <c r="G32" s="1" t="s">
        <v>240</v>
      </c>
      <c r="L32" s="1" t="s">
        <v>1017</v>
      </c>
      <c r="M32" s="63">
        <v>13</v>
      </c>
      <c r="N32" s="63">
        <v>46586</v>
      </c>
      <c r="O32" s="63">
        <v>50106</v>
      </c>
      <c r="P32" s="1" t="s">
        <v>241</v>
      </c>
      <c r="Q32" s="2" t="s">
        <v>948</v>
      </c>
    </row>
    <row r="34" spans="1:17">
      <c r="A34" s="1" t="s">
        <v>544</v>
      </c>
      <c r="B34" s="28"/>
      <c r="C34" s="2"/>
      <c r="D34" s="2"/>
      <c r="E34" s="2"/>
      <c r="F34" s="2"/>
      <c r="G34" s="2"/>
      <c r="H34" s="2"/>
      <c r="I34" s="2"/>
      <c r="J34" s="2"/>
      <c r="K34" s="2"/>
      <c r="L34" s="2"/>
      <c r="M34" s="2"/>
      <c r="N34" s="2"/>
      <c r="O34" s="2"/>
      <c r="P34" s="2"/>
      <c r="Q34" s="2"/>
    </row>
    <row r="35" spans="1:17">
      <c r="A35" s="1" t="s">
        <v>469</v>
      </c>
      <c r="B35" s="2">
        <v>55963</v>
      </c>
      <c r="C35" s="2" t="s">
        <v>213</v>
      </c>
      <c r="D35" s="2" t="s">
        <v>6</v>
      </c>
      <c r="E35" s="2" t="s">
        <v>224</v>
      </c>
      <c r="F35" s="8" t="str">
        <f>HYPERLINK("https://stat100.ameba.jp/tnk47/ratio20/illustrations/card/ill_55963_habanero03.jpg", "■")</f>
        <v>■</v>
      </c>
      <c r="G35" s="1" t="s">
        <v>225</v>
      </c>
      <c r="L35" s="1" t="s">
        <v>1013</v>
      </c>
      <c r="M35" s="63">
        <v>13</v>
      </c>
      <c r="N35" s="63">
        <v>52592</v>
      </c>
      <c r="O35" s="63">
        <v>47886</v>
      </c>
      <c r="P35" s="1" t="s">
        <v>226</v>
      </c>
      <c r="Q35" s="2" t="s">
        <v>943</v>
      </c>
    </row>
    <row r="36" spans="1:17">
      <c r="A36" s="1" t="s">
        <v>471</v>
      </c>
      <c r="B36" s="2">
        <v>56303</v>
      </c>
      <c r="C36" s="28" t="s">
        <v>217</v>
      </c>
      <c r="D36" s="2" t="s">
        <v>74</v>
      </c>
      <c r="E36" s="2" t="s">
        <v>227</v>
      </c>
      <c r="F36" s="8" t="str">
        <f>HYPERLINK("https://stat100.ameba.jp/tnk47/ratio20/illustrations/card/ill_56303_sokotanuki03.jpg", "■")</f>
        <v>■</v>
      </c>
      <c r="G36" s="1" t="s">
        <v>228</v>
      </c>
      <c r="L36" s="1" t="s">
        <v>1014</v>
      </c>
      <c r="M36" s="63">
        <v>13</v>
      </c>
      <c r="N36" s="63">
        <v>46586</v>
      </c>
      <c r="O36" s="63">
        <v>50106</v>
      </c>
      <c r="P36" s="1" t="s">
        <v>229</v>
      </c>
      <c r="Q36" s="2" t="s">
        <v>944</v>
      </c>
    </row>
    <row r="37" spans="1:17">
      <c r="A37" s="1" t="s">
        <v>651</v>
      </c>
      <c r="B37" s="2">
        <v>56123</v>
      </c>
      <c r="C37" s="2" t="s">
        <v>213</v>
      </c>
      <c r="D37" s="2" t="s">
        <v>67</v>
      </c>
      <c r="E37" s="2" t="s">
        <v>230</v>
      </c>
      <c r="F37" s="8" t="str">
        <f>HYPERLINK("https://stat100.ameba.jp/tnk47/ratio20/illustrations/card/ill_56123_machingubandoinaridaimyojin03.jpg", "■")</f>
        <v>■</v>
      </c>
      <c r="G37" s="1" t="s">
        <v>231</v>
      </c>
      <c r="L37" s="1" t="s">
        <v>1015</v>
      </c>
      <c r="M37" s="63">
        <v>13</v>
      </c>
      <c r="N37" s="63">
        <v>50106</v>
      </c>
      <c r="O37" s="63">
        <v>46586</v>
      </c>
      <c r="P37" s="1" t="s">
        <v>232</v>
      </c>
      <c r="Q37" s="2" t="s">
        <v>945</v>
      </c>
    </row>
    <row r="39" spans="1:17">
      <c r="A39" s="1" t="s">
        <v>487</v>
      </c>
      <c r="B39" s="28"/>
      <c r="C39" s="2"/>
      <c r="D39" s="2"/>
      <c r="E39" s="2"/>
      <c r="F39" s="2"/>
      <c r="G39" s="2"/>
      <c r="H39" s="2"/>
      <c r="I39" s="2"/>
      <c r="J39" s="2"/>
      <c r="K39" s="2"/>
      <c r="L39" s="2"/>
      <c r="M39" s="2"/>
      <c r="N39" s="2"/>
      <c r="O39" s="2"/>
      <c r="P39" s="2"/>
      <c r="Q39" s="2"/>
    </row>
    <row r="40" spans="1:17">
      <c r="A40" s="1" t="s">
        <v>468</v>
      </c>
      <c r="B40" s="2">
        <v>56983</v>
      </c>
      <c r="C40" s="28" t="s">
        <v>208</v>
      </c>
      <c r="D40" s="28" t="s">
        <v>209</v>
      </c>
      <c r="E40" s="1" t="s">
        <v>210</v>
      </c>
      <c r="F40" s="8" t="str">
        <f>HYPERLINK("https://stat100.ameba.jp/tnk47/ratio20/illustrations/card/ill_56983_koshosho03.jpg", "■")</f>
        <v>■</v>
      </c>
      <c r="G40" s="1" t="s">
        <v>211</v>
      </c>
      <c r="L40" s="1" t="s">
        <v>1009</v>
      </c>
      <c r="M40" s="63">
        <v>13</v>
      </c>
      <c r="N40" s="63">
        <v>47886</v>
      </c>
      <c r="O40" s="63">
        <v>52592</v>
      </c>
      <c r="P40" s="1" t="s">
        <v>212</v>
      </c>
      <c r="Q40" s="1" t="s">
        <v>939</v>
      </c>
    </row>
    <row r="41" spans="1:17">
      <c r="A41" s="1" t="s">
        <v>467</v>
      </c>
      <c r="B41" s="2">
        <v>56543</v>
      </c>
      <c r="C41" s="2" t="s">
        <v>213</v>
      </c>
      <c r="D41" s="28" t="s">
        <v>67</v>
      </c>
      <c r="E41" s="1" t="s">
        <v>214</v>
      </c>
      <c r="F41" s="8" t="str">
        <f>HYPERLINK("https://stat100.ameba.jp/tnk47/ratio20/illustrations/card/ill_56543_yukinoshizengenshoryugujin03.jpg", "■")</f>
        <v>■</v>
      </c>
      <c r="G41" s="1" t="s">
        <v>215</v>
      </c>
      <c r="L41" s="1" t="s">
        <v>1010</v>
      </c>
      <c r="M41" s="63">
        <v>13</v>
      </c>
      <c r="N41" s="63">
        <v>50106</v>
      </c>
      <c r="O41" s="63">
        <v>46586</v>
      </c>
      <c r="P41" s="1" t="s">
        <v>216</v>
      </c>
      <c r="Q41" s="1" t="s">
        <v>940</v>
      </c>
    </row>
    <row r="42" spans="1:17">
      <c r="A42" s="1" t="s">
        <v>650</v>
      </c>
      <c r="B42" s="2">
        <v>56633</v>
      </c>
      <c r="C42" s="28" t="s">
        <v>217</v>
      </c>
      <c r="D42" s="28" t="s">
        <v>169</v>
      </c>
      <c r="E42" s="1" t="s">
        <v>218</v>
      </c>
      <c r="F42" s="8" t="str">
        <f>HYPERLINK("https://stat100.ameba.jp/tnk47/ratio20/illustrations/card/ill_56633_irumineshonichijomikako03.jpg", "■")</f>
        <v>■</v>
      </c>
      <c r="G42" s="1" t="s">
        <v>219</v>
      </c>
      <c r="L42" s="1" t="s">
        <v>1011</v>
      </c>
      <c r="M42" s="63">
        <v>13</v>
      </c>
      <c r="N42" s="63">
        <v>50106</v>
      </c>
      <c r="O42" s="63">
        <v>46586</v>
      </c>
      <c r="P42" s="1" t="s">
        <v>220</v>
      </c>
      <c r="Q42" s="1" t="s">
        <v>941</v>
      </c>
    </row>
    <row r="43" spans="1:17">
      <c r="A43" s="1" t="s">
        <v>550</v>
      </c>
      <c r="B43" s="2">
        <v>57203</v>
      </c>
      <c r="C43" s="2" t="s">
        <v>213</v>
      </c>
      <c r="D43" s="28" t="s">
        <v>119</v>
      </c>
      <c r="E43" s="1" t="s">
        <v>221</v>
      </c>
      <c r="F43" s="8" t="str">
        <f>HYPERLINK("https://stat100.ameba.jp/tnk47/ratio20/illustrations/card/ill_57203_guppi03.jpg", "■")</f>
        <v>■</v>
      </c>
      <c r="G43" s="1" t="s">
        <v>222</v>
      </c>
      <c r="L43" s="1" t="s">
        <v>1012</v>
      </c>
      <c r="M43" s="1">
        <v>13</v>
      </c>
      <c r="N43" s="1" t="s">
        <v>802</v>
      </c>
      <c r="O43" s="1" t="s">
        <v>802</v>
      </c>
      <c r="P43" s="1" t="s">
        <v>223</v>
      </c>
      <c r="Q43" s="1" t="s">
        <v>942</v>
      </c>
    </row>
    <row r="44" spans="1:17">
      <c r="A44" s="2"/>
      <c r="B44" s="2"/>
      <c r="C44" s="2"/>
      <c r="D44" s="2"/>
      <c r="E44" s="2"/>
      <c r="F44" s="2"/>
      <c r="G44" s="2"/>
      <c r="H44" s="2"/>
      <c r="I44" s="2"/>
      <c r="J44" s="2"/>
      <c r="K44" s="2"/>
      <c r="L44" s="2"/>
      <c r="M44" s="2"/>
      <c r="N44" s="2"/>
      <c r="O44" s="2"/>
      <c r="P44" s="2"/>
      <c r="Q44" s="2"/>
    </row>
    <row r="45" spans="1:17">
      <c r="A45" s="2"/>
      <c r="B45" s="2"/>
      <c r="C45" s="28"/>
      <c r="D45" s="28"/>
    </row>
    <row r="46" spans="1:17">
      <c r="A46" s="1" t="s">
        <v>485</v>
      </c>
      <c r="B46" s="28"/>
      <c r="C46" s="2"/>
      <c r="D46" s="2"/>
      <c r="E46" s="2"/>
      <c r="F46" s="2"/>
      <c r="G46" s="2"/>
      <c r="H46" s="2"/>
      <c r="I46" s="2"/>
      <c r="J46" s="2"/>
      <c r="K46" s="2"/>
      <c r="L46" s="2"/>
      <c r="M46" s="2"/>
      <c r="N46" s="2"/>
      <c r="O46" s="2"/>
      <c r="P46" s="2"/>
      <c r="Q46" s="2"/>
    </row>
    <row r="47" spans="1:17">
      <c r="A47" s="1" t="s">
        <v>196</v>
      </c>
      <c r="B47" s="2">
        <v>58063</v>
      </c>
      <c r="C47" s="28" t="s">
        <v>14</v>
      </c>
      <c r="D47" s="28" t="s">
        <v>191</v>
      </c>
      <c r="E47" s="1" t="s">
        <v>192</v>
      </c>
      <c r="F47" s="8" t="str">
        <f>HYPERLINK("https://stat100.ameba.jp/tnk47/ratio20/illustrations/card/ill_58063_machoommoraki03.jpg", "■")</f>
        <v>■</v>
      </c>
      <c r="G47" s="1" t="s">
        <v>193</v>
      </c>
      <c r="L47" s="1" t="s">
        <v>1006</v>
      </c>
      <c r="M47" s="63">
        <v>13</v>
      </c>
      <c r="N47" s="63">
        <v>50106</v>
      </c>
      <c r="O47" s="63">
        <v>46586</v>
      </c>
      <c r="P47" s="1" t="s">
        <v>194</v>
      </c>
      <c r="Q47" s="1" t="s">
        <v>195</v>
      </c>
    </row>
    <row r="48" spans="1:17">
      <c r="A48" s="1" t="s">
        <v>466</v>
      </c>
      <c r="B48" s="2">
        <v>58123</v>
      </c>
      <c r="C48" s="28" t="s">
        <v>10</v>
      </c>
      <c r="D48" s="28" t="s">
        <v>17</v>
      </c>
      <c r="E48" s="1" t="s">
        <v>197</v>
      </c>
      <c r="F48" s="8" t="str">
        <f>HYPERLINK("https://stat100.ameba.jp/tnk47/ratio20/illustrations/card/ill_58123_himekatchumegohime03.jpg", "■")</f>
        <v>■</v>
      </c>
      <c r="G48" s="1" t="s">
        <v>198</v>
      </c>
      <c r="L48" s="1" t="s">
        <v>2655</v>
      </c>
      <c r="M48" s="63">
        <v>13</v>
      </c>
      <c r="N48" s="63">
        <v>50106</v>
      </c>
      <c r="O48" s="63">
        <v>46586</v>
      </c>
      <c r="P48" s="1" t="s">
        <v>199</v>
      </c>
      <c r="Q48" s="1" t="s">
        <v>938</v>
      </c>
    </row>
    <row r="49" spans="1:17">
      <c r="A49" s="1" t="s">
        <v>649</v>
      </c>
      <c r="B49" s="2">
        <v>57943</v>
      </c>
      <c r="C49" s="28" t="s">
        <v>10</v>
      </c>
      <c r="D49" s="28" t="s">
        <v>154</v>
      </c>
      <c r="E49" s="1" t="s">
        <v>200</v>
      </c>
      <c r="F49" s="8" t="str">
        <f>HYPERLINK("https://stat100.ameba.jp/tnk47/ratio20/illustrations/card/ill_57943_uranaishishirohebihime03.jpg", "■")</f>
        <v>■</v>
      </c>
      <c r="G49" s="1" t="s">
        <v>201</v>
      </c>
      <c r="L49" s="1" t="s">
        <v>1007</v>
      </c>
      <c r="M49" s="63">
        <v>13</v>
      </c>
      <c r="N49" s="63">
        <v>46586</v>
      </c>
      <c r="O49" s="63">
        <v>50106</v>
      </c>
      <c r="P49" s="1" t="s">
        <v>202</v>
      </c>
      <c r="Q49" s="1" t="s">
        <v>203</v>
      </c>
    </row>
    <row r="50" spans="1:17">
      <c r="A50" s="1" t="s">
        <v>493</v>
      </c>
      <c r="B50" s="2">
        <v>47503</v>
      </c>
      <c r="C50" s="28" t="s">
        <v>14</v>
      </c>
      <c r="D50" s="28" t="s">
        <v>26</v>
      </c>
      <c r="E50" s="1" t="s">
        <v>204</v>
      </c>
      <c r="F50" s="8" t="str">
        <f>HYPERLINK("https://stat100.ameba.jp/tnk47/ratio20/illustrations/card/ill_47503_ariwaranonarihira03.jpg", "■")</f>
        <v>■</v>
      </c>
      <c r="G50" s="1" t="s">
        <v>205</v>
      </c>
      <c r="L50" s="1" t="s">
        <v>1008</v>
      </c>
      <c r="M50" s="1">
        <v>13</v>
      </c>
      <c r="N50" s="1" t="s">
        <v>802</v>
      </c>
      <c r="O50" s="1" t="s">
        <v>802</v>
      </c>
      <c r="P50" s="1" t="s">
        <v>206</v>
      </c>
      <c r="Q50" s="1" t="s">
        <v>207</v>
      </c>
    </row>
    <row r="51" spans="1:17">
      <c r="A51" s="2"/>
      <c r="B51" s="2"/>
      <c r="C51" s="2"/>
      <c r="D51" s="2"/>
      <c r="E51" s="2"/>
      <c r="F51" s="2"/>
      <c r="G51" s="2"/>
      <c r="H51" s="2"/>
      <c r="I51" s="2"/>
      <c r="J51" s="2"/>
      <c r="K51" s="2"/>
      <c r="L51" s="2"/>
      <c r="M51" s="2"/>
      <c r="N51" s="2"/>
      <c r="O51" s="2"/>
      <c r="P51" s="2"/>
      <c r="Q51" s="2"/>
    </row>
    <row r="52" spans="1:17">
      <c r="A52" s="1" t="s">
        <v>484</v>
      </c>
      <c r="B52" s="28"/>
      <c r="C52" s="2"/>
      <c r="D52" s="2"/>
      <c r="E52" s="2"/>
      <c r="F52" s="2"/>
      <c r="G52" s="2"/>
      <c r="H52" s="2"/>
      <c r="I52" s="2"/>
      <c r="J52" s="2"/>
      <c r="K52" s="2"/>
      <c r="L52" s="2"/>
      <c r="M52" s="2"/>
      <c r="N52" s="2"/>
      <c r="O52" s="2"/>
      <c r="P52" s="2"/>
      <c r="Q52" s="2"/>
    </row>
    <row r="53" spans="1:17">
      <c r="A53" s="1" t="s">
        <v>178</v>
      </c>
      <c r="B53" s="2">
        <v>58733</v>
      </c>
      <c r="C53" s="28" t="s">
        <v>14</v>
      </c>
      <c r="D53" s="28" t="s">
        <v>174</v>
      </c>
      <c r="E53" s="1" t="s">
        <v>175</v>
      </c>
      <c r="F53" s="8" t="str">
        <f>HYPERLINK("https://stat100.ameba.jp/tnk47/ratio20/illustrations/card/ill_58733_kanawanoi03.jpg", "■")</f>
        <v>■</v>
      </c>
      <c r="G53" s="1" t="s">
        <v>176</v>
      </c>
      <c r="L53" s="1" t="s">
        <v>1002</v>
      </c>
      <c r="M53" s="1">
        <v>13</v>
      </c>
      <c r="N53" s="1">
        <v>47886</v>
      </c>
      <c r="O53" s="1">
        <v>52592</v>
      </c>
      <c r="P53" s="1" t="s">
        <v>177</v>
      </c>
      <c r="Q53" s="1" t="s">
        <v>937</v>
      </c>
    </row>
    <row r="54" spans="1:17">
      <c r="A54" s="1" t="s">
        <v>465</v>
      </c>
      <c r="B54" s="2">
        <v>58963</v>
      </c>
      <c r="C54" s="28" t="s">
        <v>10</v>
      </c>
      <c r="D54" s="28" t="s">
        <v>51</v>
      </c>
      <c r="E54" s="1" t="s">
        <v>179</v>
      </c>
      <c r="F54" s="8" t="str">
        <f>HYPERLINK("https://stat100.ameba.jp/tnk47/ratio20/illustrations/card/ill_58963_ginnosuzu03.jpg", "■")</f>
        <v>■</v>
      </c>
      <c r="G54" s="1" t="s">
        <v>180</v>
      </c>
      <c r="L54" s="1" t="s">
        <v>1003</v>
      </c>
      <c r="M54" s="1">
        <v>13</v>
      </c>
      <c r="N54" s="1">
        <v>46586</v>
      </c>
      <c r="O54" s="1">
        <v>50106</v>
      </c>
      <c r="P54" s="1" t="s">
        <v>181</v>
      </c>
      <c r="Q54" s="1" t="s">
        <v>182</v>
      </c>
    </row>
    <row r="55" spans="1:17">
      <c r="A55" s="1" t="s">
        <v>648</v>
      </c>
      <c r="B55" s="2">
        <v>59143</v>
      </c>
      <c r="C55" s="28" t="s">
        <v>14</v>
      </c>
      <c r="D55" s="28" t="s">
        <v>17</v>
      </c>
      <c r="E55" s="1" t="s">
        <v>183</v>
      </c>
      <c r="F55" s="8" t="str">
        <f>HYPERLINK("https://stat100.ameba.jp/tnk47/ratio20/illustrations/card/ill_59143_otonanoasobikikuhime03.jpg", "■")</f>
        <v>■</v>
      </c>
      <c r="G55" s="1" t="s">
        <v>184</v>
      </c>
      <c r="L55" s="1" t="s">
        <v>1004</v>
      </c>
      <c r="M55" s="1">
        <v>13</v>
      </c>
      <c r="N55" s="1">
        <v>50106</v>
      </c>
      <c r="O55" s="1">
        <v>46586</v>
      </c>
      <c r="P55" s="1" t="s">
        <v>185</v>
      </c>
      <c r="Q55" s="1" t="s">
        <v>186</v>
      </c>
    </row>
    <row r="56" spans="1:17">
      <c r="A56" s="1" t="s">
        <v>492</v>
      </c>
      <c r="B56" s="2">
        <v>59223</v>
      </c>
      <c r="C56" s="28" t="s">
        <v>14</v>
      </c>
      <c r="D56" s="28" t="s">
        <v>96</v>
      </c>
      <c r="E56" s="1" t="s">
        <v>187</v>
      </c>
      <c r="F56" s="8" t="str">
        <f>HYPERLINK("https://stat100.ameba.jp/tnk47/ratio20/illustrations/card/ill_59223_tatsuminaofumi03.jpg", "■")</f>
        <v>■</v>
      </c>
      <c r="G56" s="1" t="s">
        <v>188</v>
      </c>
      <c r="L56" s="1" t="s">
        <v>1005</v>
      </c>
      <c r="M56" s="1">
        <v>13</v>
      </c>
      <c r="N56" s="1">
        <v>46586</v>
      </c>
      <c r="O56" s="1">
        <v>77063</v>
      </c>
      <c r="P56" s="1" t="s">
        <v>189</v>
      </c>
      <c r="Q56" s="1" t="s">
        <v>190</v>
      </c>
    </row>
    <row r="57" spans="1:17">
      <c r="B57" s="2"/>
      <c r="C57" s="28"/>
      <c r="D57" s="28"/>
      <c r="M57" s="2"/>
      <c r="N57" s="2"/>
      <c r="O57" s="2"/>
    </row>
    <row r="58" spans="1:17">
      <c r="A58" s="1" t="s">
        <v>483</v>
      </c>
      <c r="B58" s="28"/>
      <c r="C58" s="2"/>
      <c r="D58" s="2"/>
      <c r="E58" s="2"/>
      <c r="F58" s="2"/>
      <c r="G58" s="2"/>
      <c r="H58" s="2"/>
      <c r="I58" s="2"/>
      <c r="J58" s="2"/>
      <c r="K58" s="2"/>
      <c r="L58" s="2"/>
      <c r="M58" s="2"/>
      <c r="N58" s="2"/>
      <c r="O58" s="2"/>
      <c r="P58" s="2"/>
      <c r="Q58" s="2"/>
    </row>
    <row r="59" spans="1:17">
      <c r="A59" s="1" t="s">
        <v>159</v>
      </c>
      <c r="B59" s="2">
        <v>59553</v>
      </c>
      <c r="C59" s="28" t="s">
        <v>10</v>
      </c>
      <c r="D59" s="28" t="s">
        <v>154</v>
      </c>
      <c r="E59" s="1" t="s">
        <v>155</v>
      </c>
      <c r="F59" s="8" t="str">
        <f>HYPERLINK("https://stat100.ameba.jp/tnk47/ratio20/illustrations/card/ill_59553_hyakudanhinamatsuri03.jpg", "■")</f>
        <v>■</v>
      </c>
      <c r="G59" s="1" t="s">
        <v>156</v>
      </c>
      <c r="L59" s="1" t="s">
        <v>998</v>
      </c>
      <c r="M59" s="1">
        <v>13</v>
      </c>
      <c r="N59" s="1">
        <v>59328</v>
      </c>
      <c r="O59" s="1">
        <v>55062</v>
      </c>
      <c r="P59" s="1" t="s">
        <v>157</v>
      </c>
      <c r="Q59" s="1" t="s">
        <v>158</v>
      </c>
    </row>
    <row r="60" spans="1:17">
      <c r="A60" s="1" t="s">
        <v>464</v>
      </c>
      <c r="B60" s="2">
        <v>59783</v>
      </c>
      <c r="C60" s="28" t="s">
        <v>10</v>
      </c>
      <c r="D60" s="2" t="s">
        <v>6</v>
      </c>
      <c r="E60" s="1" t="s">
        <v>160</v>
      </c>
      <c r="F60" s="8" t="str">
        <f>HYPERLINK("https://stat100.ameba.jp/tnk47/ratio20/illustrations/card/ill_59783_kurobahanichan03.jpg", "■")</f>
        <v>■</v>
      </c>
      <c r="G60" s="1" t="s">
        <v>161</v>
      </c>
      <c r="L60" s="1" t="s">
        <v>999</v>
      </c>
      <c r="M60" s="1">
        <v>13</v>
      </c>
      <c r="N60" s="1">
        <v>61393</v>
      </c>
      <c r="O60" s="1">
        <v>57088</v>
      </c>
      <c r="P60" s="1" t="s">
        <v>162</v>
      </c>
      <c r="Q60" s="1" t="s">
        <v>163</v>
      </c>
    </row>
    <row r="61" spans="1:17">
      <c r="A61" s="1" t="s">
        <v>647</v>
      </c>
      <c r="B61" s="2">
        <v>59963</v>
      </c>
      <c r="C61" s="28" t="s">
        <v>14</v>
      </c>
      <c r="D61" s="28" t="s">
        <v>96</v>
      </c>
      <c r="E61" s="1" t="s">
        <v>164</v>
      </c>
      <c r="F61" s="8" t="str">
        <f>HYPERLINK("https://stat100.ameba.jp/tnk47/ratio20/illustrations/card/ill_59963_hantasaikamagoichi03.jpg", "■")</f>
        <v>■</v>
      </c>
      <c r="G61" s="1" t="s">
        <v>165</v>
      </c>
      <c r="L61" s="1" t="s">
        <v>1000</v>
      </c>
      <c r="M61" s="1">
        <v>13</v>
      </c>
      <c r="N61" s="1">
        <v>82619</v>
      </c>
      <c r="O61" s="1">
        <v>70814</v>
      </c>
      <c r="P61" s="1" t="s">
        <v>166</v>
      </c>
      <c r="Q61" s="1" t="s">
        <v>167</v>
      </c>
    </row>
    <row r="62" spans="1:17">
      <c r="A62" s="1" t="s">
        <v>491</v>
      </c>
      <c r="B62" s="2">
        <v>60043</v>
      </c>
      <c r="C62" s="28" t="s">
        <v>168</v>
      </c>
      <c r="D62" s="28" t="s">
        <v>169</v>
      </c>
      <c r="E62" s="1" t="s">
        <v>170</v>
      </c>
      <c r="F62" s="8" t="str">
        <f>HYPERLINK("https://stat100.ameba.jp/tnk47/ratio20/illustrations/card/ill_60043_karuyuhaimu03.jpg", "■")</f>
        <v>■</v>
      </c>
      <c r="G62" s="1" t="s">
        <v>171</v>
      </c>
      <c r="L62" s="1" t="s">
        <v>1001</v>
      </c>
      <c r="M62" s="1">
        <v>13</v>
      </c>
      <c r="N62" s="1">
        <v>47195</v>
      </c>
      <c r="O62" s="1">
        <v>50779</v>
      </c>
      <c r="P62" s="1" t="s">
        <v>172</v>
      </c>
      <c r="Q62" s="1" t="s">
        <v>173</v>
      </c>
    </row>
    <row r="63" spans="1:17">
      <c r="A63" s="2"/>
      <c r="B63" s="2"/>
      <c r="C63" s="2"/>
      <c r="D63" s="2"/>
      <c r="E63" s="2"/>
      <c r="F63" s="2"/>
      <c r="G63" s="2"/>
      <c r="H63" s="2"/>
      <c r="I63" s="2"/>
      <c r="J63" s="2"/>
      <c r="K63" s="2"/>
      <c r="L63" s="2"/>
      <c r="M63" s="2"/>
      <c r="N63" s="2"/>
      <c r="O63" s="2"/>
      <c r="P63" s="2"/>
      <c r="Q63" s="2"/>
    </row>
    <row r="64" spans="1:17">
      <c r="A64" s="1" t="s">
        <v>3245</v>
      </c>
      <c r="B64" s="28"/>
      <c r="C64" s="2"/>
      <c r="D64" s="2"/>
      <c r="E64" s="2"/>
      <c r="F64" s="2"/>
      <c r="G64" s="2"/>
      <c r="H64" s="2"/>
      <c r="I64" s="2"/>
      <c r="J64" s="2"/>
      <c r="K64" s="2"/>
      <c r="L64" s="2"/>
      <c r="M64" s="2"/>
      <c r="N64" s="2"/>
      <c r="O64" s="2"/>
      <c r="P64" s="2"/>
      <c r="Q64" s="2"/>
    </row>
    <row r="65" spans="1:17">
      <c r="A65" s="1" t="s">
        <v>141</v>
      </c>
      <c r="B65" s="2">
        <v>61273</v>
      </c>
      <c r="C65" s="28" t="s">
        <v>14</v>
      </c>
      <c r="D65" s="28" t="s">
        <v>51</v>
      </c>
      <c r="E65" s="1" t="s">
        <v>138</v>
      </c>
      <c r="F65" s="8" t="str">
        <f>HYPERLINK("https://stat100.ameba.jp/tnk47/ratio20/illustrations/card/ill_61273_tamamushi03.jpg", "■")</f>
        <v>■</v>
      </c>
      <c r="G65" s="1" t="s">
        <v>139</v>
      </c>
      <c r="L65" s="1" t="s">
        <v>994</v>
      </c>
      <c r="M65" s="2">
        <v>13</v>
      </c>
      <c r="N65" s="2">
        <v>51369</v>
      </c>
      <c r="O65" s="2">
        <v>55258</v>
      </c>
      <c r="P65" s="1" t="s">
        <v>140</v>
      </c>
      <c r="Q65" s="1" t="s">
        <v>936</v>
      </c>
    </row>
    <row r="66" spans="1:17">
      <c r="A66" s="1" t="s">
        <v>463</v>
      </c>
      <c r="B66" s="2">
        <v>60733</v>
      </c>
      <c r="C66" s="28" t="s">
        <v>10</v>
      </c>
      <c r="D66" s="28" t="s">
        <v>96</v>
      </c>
      <c r="E66" s="1" t="s">
        <v>142</v>
      </c>
      <c r="F66" s="8" t="str">
        <f>HYPERLINK("https://stat100.ameba.jp/tnk47/ratio20/illustrations/card/ill_60733_dannoraminamotoyoshitsune03.jpg", "■")</f>
        <v>■</v>
      </c>
      <c r="G66" s="1" t="s">
        <v>143</v>
      </c>
      <c r="L66" s="1" t="s">
        <v>995</v>
      </c>
      <c r="M66" s="2">
        <v>13</v>
      </c>
      <c r="N66" s="2">
        <v>77281</v>
      </c>
      <c r="O66" s="2">
        <v>71856</v>
      </c>
      <c r="P66" s="1" t="s">
        <v>144</v>
      </c>
      <c r="Q66" s="1" t="s">
        <v>606</v>
      </c>
    </row>
    <row r="67" spans="1:17">
      <c r="A67" s="1" t="s">
        <v>646</v>
      </c>
      <c r="B67" s="2">
        <v>60903</v>
      </c>
      <c r="C67" s="28" t="s">
        <v>10</v>
      </c>
      <c r="D67" s="28" t="s">
        <v>26</v>
      </c>
      <c r="E67" s="1" t="s">
        <v>145</v>
      </c>
      <c r="F67" s="8" t="str">
        <f>HYPERLINK("https://stat100.ameba.jp/tnk47/ratio20/illustrations/card/ill_60903_sukurugarukasuganotsubone03.jpg", "■")</f>
        <v>■</v>
      </c>
      <c r="G67" s="1" t="s">
        <v>146</v>
      </c>
      <c r="L67" s="1" t="s">
        <v>996</v>
      </c>
      <c r="M67" s="2">
        <v>13</v>
      </c>
      <c r="N67" s="2">
        <v>49033</v>
      </c>
      <c r="O67" s="2">
        <v>52713</v>
      </c>
      <c r="P67" s="1" t="s">
        <v>147</v>
      </c>
      <c r="Q67" s="1" t="s">
        <v>915</v>
      </c>
    </row>
    <row r="68" spans="1:17">
      <c r="A68" s="1" t="s">
        <v>490</v>
      </c>
      <c r="B68" s="2">
        <v>61363</v>
      </c>
      <c r="C68" s="28" t="s">
        <v>148</v>
      </c>
      <c r="D68" s="28" t="s">
        <v>149</v>
      </c>
      <c r="E68" s="1" t="s">
        <v>150</v>
      </c>
      <c r="F68" s="8" t="str">
        <f>HYPERLINK("https://stat100.ameba.jp/tnk47/ratio20/illustrations/card/ill_61363_furomajuchan03.jpg", "■")</f>
        <v>■</v>
      </c>
      <c r="G68" s="1" t="s">
        <v>151</v>
      </c>
      <c r="L68" s="1" t="s">
        <v>997</v>
      </c>
      <c r="M68" s="2">
        <v>13</v>
      </c>
      <c r="N68" s="2">
        <v>57088</v>
      </c>
      <c r="O68" s="2">
        <v>61393</v>
      </c>
      <c r="P68" s="1" t="s">
        <v>152</v>
      </c>
      <c r="Q68" s="1" t="s">
        <v>153</v>
      </c>
    </row>
    <row r="69" spans="1:17" s="61" customFormat="1">
      <c r="A69" s="2"/>
      <c r="B69" s="2"/>
      <c r="C69" s="2"/>
      <c r="D69" s="2"/>
      <c r="E69" s="2"/>
      <c r="F69" s="2"/>
      <c r="G69" s="2"/>
      <c r="H69" s="2"/>
      <c r="I69" s="2"/>
      <c r="J69" s="2"/>
      <c r="K69" s="2"/>
      <c r="L69" s="2"/>
      <c r="M69" s="2"/>
      <c r="N69" s="2"/>
      <c r="O69" s="2"/>
      <c r="P69" s="2"/>
      <c r="Q69" s="2"/>
    </row>
    <row r="70" spans="1:17">
      <c r="A70" s="1" t="s">
        <v>482</v>
      </c>
      <c r="B70" s="28"/>
      <c r="C70" s="2"/>
      <c r="D70" s="28"/>
      <c r="M70" s="2"/>
      <c r="N70" s="2"/>
      <c r="O70" s="2"/>
    </row>
    <row r="71" spans="1:17">
      <c r="A71" s="1" t="s">
        <v>127</v>
      </c>
      <c r="B71" s="2">
        <v>61773</v>
      </c>
      <c r="C71" s="28" t="s">
        <v>41</v>
      </c>
      <c r="D71" s="28" t="s">
        <v>123</v>
      </c>
      <c r="E71" s="1" t="s">
        <v>124</v>
      </c>
      <c r="F71" s="8" t="str">
        <f>HYPERLINK("https://stat100.ameba.jp/tnk47/ratio20/illustrations/card/ill_61773_igakuhakasekitasatoshibasaburo03.jpg", "■")</f>
        <v>■</v>
      </c>
      <c r="G71" s="1" t="s">
        <v>125</v>
      </c>
      <c r="L71" s="1" t="s">
        <v>990</v>
      </c>
      <c r="M71" s="2">
        <v>13</v>
      </c>
      <c r="N71" s="2">
        <v>49033</v>
      </c>
      <c r="O71" s="2">
        <v>52713</v>
      </c>
      <c r="P71" s="1" t="s">
        <v>126</v>
      </c>
      <c r="Q71" s="1" t="s">
        <v>915</v>
      </c>
    </row>
    <row r="72" spans="1:17">
      <c r="A72" s="1" t="s">
        <v>458</v>
      </c>
      <c r="B72" s="2">
        <v>62053</v>
      </c>
      <c r="C72" s="28" t="s">
        <v>41</v>
      </c>
      <c r="D72" s="28" t="s">
        <v>87</v>
      </c>
      <c r="E72" s="1" t="s">
        <v>128</v>
      </c>
      <c r="F72" s="8" t="str">
        <f>HYPERLINK("https://stat100.ameba.jp/tnk47/ratio20/illustrations/card/ill_62053_niijimajo03.jpg", "■")</f>
        <v>■</v>
      </c>
      <c r="G72" s="1" t="s">
        <v>129</v>
      </c>
      <c r="L72" s="1" t="s">
        <v>991</v>
      </c>
      <c r="M72" s="2">
        <v>13</v>
      </c>
      <c r="N72" s="2">
        <v>50779</v>
      </c>
      <c r="O72" s="2">
        <v>47195</v>
      </c>
      <c r="P72" s="1" t="s">
        <v>130</v>
      </c>
      <c r="Q72" s="1" t="s">
        <v>131</v>
      </c>
    </row>
    <row r="73" spans="1:17">
      <c r="A73" s="1" t="s">
        <v>645</v>
      </c>
      <c r="B73" s="2">
        <v>62113</v>
      </c>
      <c r="C73" s="28" t="s">
        <v>37</v>
      </c>
      <c r="D73" s="28" t="s">
        <v>59</v>
      </c>
      <c r="E73" s="1" t="s">
        <v>132</v>
      </c>
      <c r="F73" s="8" t="str">
        <f>HYPERLINK("https://stat100.ameba.jp/tnk47/ratio20/illustrations/card/ill_62113_pikunikkutomoegozen03.jpg", "■")</f>
        <v>■</v>
      </c>
      <c r="G73" s="1" t="s">
        <v>133</v>
      </c>
      <c r="L73" s="1" t="s">
        <v>992</v>
      </c>
      <c r="M73" s="2">
        <v>13</v>
      </c>
      <c r="N73" s="2">
        <v>71856</v>
      </c>
      <c r="O73" s="2">
        <v>77281</v>
      </c>
      <c r="P73" s="1" t="s">
        <v>134</v>
      </c>
      <c r="Q73" s="1" t="s">
        <v>935</v>
      </c>
    </row>
    <row r="74" spans="1:17">
      <c r="A74" s="1" t="s">
        <v>480</v>
      </c>
      <c r="B74" s="2">
        <v>62253</v>
      </c>
      <c r="C74" s="28" t="s">
        <v>41</v>
      </c>
      <c r="D74" s="28" t="s">
        <v>44</v>
      </c>
      <c r="E74" s="1" t="s">
        <v>135</v>
      </c>
      <c r="F74" s="8" t="str">
        <f>HYPERLINK("https://stat100.ameba.jp/tnk47/ratio20/illustrations/card/ill_62253_gogatsubyosakyogabashinohebi03.jpg", "■")</f>
        <v>■</v>
      </c>
      <c r="G74" s="1" t="s">
        <v>136</v>
      </c>
      <c r="L74" s="1" t="s">
        <v>993</v>
      </c>
      <c r="M74" s="2">
        <v>13</v>
      </c>
      <c r="N74" s="2">
        <v>59328</v>
      </c>
      <c r="O74" s="2">
        <v>55062</v>
      </c>
      <c r="P74" s="1" t="s">
        <v>137</v>
      </c>
      <c r="Q74" s="1" t="s">
        <v>921</v>
      </c>
    </row>
    <row r="75" spans="1:17">
      <c r="A75" s="2"/>
      <c r="B75" s="2"/>
      <c r="C75" s="2"/>
      <c r="D75" s="2"/>
      <c r="E75" s="2"/>
      <c r="F75" s="2"/>
      <c r="G75" s="2"/>
      <c r="H75" s="2"/>
      <c r="I75" s="2"/>
      <c r="J75" s="2"/>
      <c r="K75" s="2"/>
      <c r="L75" s="2"/>
      <c r="M75" s="2"/>
      <c r="N75" s="2"/>
      <c r="O75" s="2"/>
      <c r="P75" s="2"/>
      <c r="Q75" s="2"/>
    </row>
    <row r="76" spans="1:17">
      <c r="A76" s="1" t="s">
        <v>481</v>
      </c>
      <c r="B76" s="28"/>
      <c r="C76" s="2"/>
      <c r="D76" s="28"/>
      <c r="M76" s="2"/>
      <c r="N76" s="2"/>
      <c r="O76" s="2"/>
    </row>
    <row r="77" spans="1:17">
      <c r="A77" s="1" t="s">
        <v>118</v>
      </c>
      <c r="B77" s="2">
        <v>63083</v>
      </c>
      <c r="C77" s="28" t="s">
        <v>41</v>
      </c>
      <c r="D77" s="28" t="s">
        <v>17</v>
      </c>
      <c r="E77" s="1" t="s">
        <v>115</v>
      </c>
      <c r="F77" s="8" t="str">
        <f>HYPERLINK("https://stat100.ameba.jp/tnk47/ratio20/illustrations/card/ill_63083_yakimochirokuhime03.jpg", "■")</f>
        <v>■</v>
      </c>
      <c r="G77" s="1" t="s">
        <v>116</v>
      </c>
      <c r="L77" s="1" t="s">
        <v>986</v>
      </c>
      <c r="M77" s="2">
        <v>13</v>
      </c>
      <c r="N77" s="2">
        <v>50779</v>
      </c>
      <c r="O77" s="2">
        <v>47195</v>
      </c>
      <c r="P77" s="1" t="s">
        <v>117</v>
      </c>
      <c r="Q77" s="1" t="s">
        <v>799</v>
      </c>
    </row>
    <row r="78" spans="1:17">
      <c r="A78" s="1" t="s">
        <v>459</v>
      </c>
      <c r="B78" s="2">
        <v>63293</v>
      </c>
      <c r="C78" s="28" t="s">
        <v>37</v>
      </c>
      <c r="D78" s="28" t="s">
        <v>123</v>
      </c>
      <c r="E78" s="1" t="s">
        <v>460</v>
      </c>
      <c r="F78" s="8" t="str">
        <f>HYPERLINK("https://stat100.ameba.jp/tnk47/ratio20/illustrations/card/ill_63293_miyoshimanabu03.jpg", "■")</f>
        <v>■</v>
      </c>
      <c r="G78" s="1" t="s">
        <v>462</v>
      </c>
      <c r="L78" s="1" t="s">
        <v>987</v>
      </c>
      <c r="M78" s="2">
        <v>13</v>
      </c>
      <c r="N78" s="2">
        <v>52713</v>
      </c>
      <c r="O78" s="2">
        <v>49033</v>
      </c>
      <c r="P78" s="1" t="s">
        <v>461</v>
      </c>
      <c r="Q78" s="1" t="s">
        <v>932</v>
      </c>
    </row>
    <row r="79" spans="1:17">
      <c r="A79" s="1" t="s">
        <v>644</v>
      </c>
      <c r="B79" s="2">
        <v>63343</v>
      </c>
      <c r="C79" s="28" t="s">
        <v>37</v>
      </c>
      <c r="D79" s="28" t="s">
        <v>119</v>
      </c>
      <c r="E79" s="1" t="s">
        <v>120</v>
      </c>
      <c r="F79" s="8" t="str">
        <f>HYPERLINK("https://stat100.ameba.jp/tnk47/ratio20/illustrations/card/ill_63343_tsukikageshamo03.jpg", "■")</f>
        <v>■</v>
      </c>
      <c r="G79" s="1" t="s">
        <v>121</v>
      </c>
      <c r="L79" s="1" t="s">
        <v>988</v>
      </c>
      <c r="M79" s="2">
        <v>13</v>
      </c>
      <c r="N79" s="2">
        <v>55258</v>
      </c>
      <c r="O79" s="2">
        <v>51369</v>
      </c>
      <c r="P79" s="1" t="s">
        <v>122</v>
      </c>
      <c r="Q79" s="1" t="s">
        <v>933</v>
      </c>
    </row>
    <row r="80" spans="1:17">
      <c r="A80" s="1" t="s">
        <v>494</v>
      </c>
      <c r="B80" s="2">
        <v>63363</v>
      </c>
      <c r="C80" s="28" t="s">
        <v>41</v>
      </c>
      <c r="D80" s="28" t="s">
        <v>74</v>
      </c>
      <c r="E80" s="1" t="s">
        <v>506</v>
      </c>
      <c r="F80" s="8" t="str">
        <f>HYPERLINK("https://stat100.ameba.jp/tnk47/ratio20/illustrations/card/ill_63363_sumiyoshibuchinohakuja03.jpg", "■")</f>
        <v>■</v>
      </c>
      <c r="G80" s="1" t="s">
        <v>507</v>
      </c>
      <c r="L80" s="1" t="s">
        <v>989</v>
      </c>
      <c r="M80" s="2">
        <v>13</v>
      </c>
      <c r="N80" s="2">
        <v>50371</v>
      </c>
      <c r="O80" s="2">
        <v>54164</v>
      </c>
      <c r="P80" s="1" t="s">
        <v>508</v>
      </c>
      <c r="Q80" s="1" t="s">
        <v>934</v>
      </c>
    </row>
    <row r="81" spans="1:17">
      <c r="A81" s="2"/>
      <c r="B81" s="2"/>
      <c r="C81" s="2"/>
      <c r="D81" s="2"/>
      <c r="E81" s="2"/>
      <c r="F81" s="2"/>
      <c r="G81" s="2"/>
      <c r="H81" s="2"/>
      <c r="I81" s="2"/>
      <c r="J81" s="2"/>
      <c r="K81" s="2"/>
      <c r="L81" s="2"/>
      <c r="M81" s="2"/>
      <c r="N81" s="2"/>
      <c r="O81" s="2"/>
      <c r="P81" s="2"/>
      <c r="Q81" s="2"/>
    </row>
    <row r="82" spans="1:17" s="80" customFormat="1">
      <c r="A82" s="2"/>
      <c r="B82" s="2"/>
      <c r="C82" s="2"/>
      <c r="D82" s="2"/>
      <c r="E82" s="2"/>
      <c r="F82" s="2"/>
      <c r="G82" s="2"/>
      <c r="H82" s="2"/>
      <c r="I82" s="2"/>
      <c r="J82" s="2"/>
      <c r="K82" s="2"/>
      <c r="L82" s="2"/>
      <c r="M82" s="2"/>
      <c r="N82" s="2"/>
      <c r="O82" s="2"/>
      <c r="P82" s="2"/>
      <c r="Q82" s="2"/>
    </row>
    <row r="83" spans="1:17">
      <c r="A83" s="1" t="s">
        <v>532</v>
      </c>
      <c r="B83" s="28"/>
      <c r="C83" s="2"/>
      <c r="D83" s="28"/>
      <c r="M83" s="2"/>
      <c r="N83" s="2"/>
      <c r="O83" s="2"/>
    </row>
    <row r="84" spans="1:17">
      <c r="A84" s="1" t="s">
        <v>533</v>
      </c>
      <c r="B84" s="2">
        <v>63743</v>
      </c>
      <c r="C84" s="28" t="s">
        <v>37</v>
      </c>
      <c r="D84" s="28" t="s">
        <v>6</v>
      </c>
      <c r="E84" s="1" t="s">
        <v>536</v>
      </c>
      <c r="F84" s="8" t="str">
        <f>HYPERLINK("https://stat100.ameba.jp/tnk47/ratio20/illustrations/card/ill_63743_ohotsukukare03.jpg", "■")</f>
        <v>■</v>
      </c>
      <c r="G84" s="1" t="s">
        <v>542</v>
      </c>
      <c r="L84" s="1" t="s">
        <v>982</v>
      </c>
      <c r="M84" s="2">
        <v>13</v>
      </c>
      <c r="N84" s="2">
        <v>61393</v>
      </c>
      <c r="O84" s="2">
        <v>57088</v>
      </c>
      <c r="P84" s="1" t="s">
        <v>537</v>
      </c>
      <c r="Q84" s="1" t="s">
        <v>163</v>
      </c>
    </row>
    <row r="85" spans="1:17">
      <c r="A85" s="1" t="s">
        <v>534</v>
      </c>
      <c r="B85" s="2">
        <v>64903</v>
      </c>
      <c r="C85" s="28" t="s">
        <v>41</v>
      </c>
      <c r="D85" s="28" t="s">
        <v>44</v>
      </c>
      <c r="E85" s="1" t="s">
        <v>538</v>
      </c>
      <c r="F85" s="8" t="str">
        <f>HYPERLINK("https://stat100.ameba.jp/tnk47/ratio20/illustrations/card/ill_64903_sankotosennoken03.jpg", "■")</f>
        <v>■</v>
      </c>
      <c r="G85" s="1" t="s">
        <v>563</v>
      </c>
      <c r="L85" s="1" t="s">
        <v>983</v>
      </c>
      <c r="M85" s="2">
        <v>13</v>
      </c>
      <c r="N85" s="2">
        <v>55062</v>
      </c>
      <c r="O85" s="2">
        <v>59328</v>
      </c>
      <c r="P85" s="1" t="s">
        <v>539</v>
      </c>
      <c r="Q85" s="1" t="s">
        <v>930</v>
      </c>
    </row>
    <row r="86" spans="1:17">
      <c r="A86" s="1" t="s">
        <v>643</v>
      </c>
      <c r="B86" s="2">
        <v>64233</v>
      </c>
      <c r="C86" s="28" t="s">
        <v>297</v>
      </c>
      <c r="D86" s="28" t="s">
        <v>119</v>
      </c>
      <c r="E86" s="1" t="s">
        <v>540</v>
      </c>
      <c r="F86" s="8" t="str">
        <f>HYPERLINK("https://stat100.ameba.jp/tnk47/ratio20/illustrations/card/ill_64233_machingubandohakkachan03.jpg", "■")</f>
        <v>■</v>
      </c>
      <c r="G86" s="1" t="s">
        <v>543</v>
      </c>
      <c r="L86" s="1" t="s">
        <v>984</v>
      </c>
      <c r="M86" s="2">
        <v>13</v>
      </c>
      <c r="N86" s="2">
        <v>51369</v>
      </c>
      <c r="O86" s="2">
        <v>55258</v>
      </c>
      <c r="P86" s="1" t="s">
        <v>541</v>
      </c>
      <c r="Q86" s="1" t="s">
        <v>931</v>
      </c>
    </row>
    <row r="87" spans="1:17">
      <c r="A87" s="1" t="s">
        <v>535</v>
      </c>
      <c r="B87" s="2">
        <v>64313</v>
      </c>
      <c r="C87" s="28" t="s">
        <v>297</v>
      </c>
      <c r="D87" s="28" t="s">
        <v>59</v>
      </c>
      <c r="E87" s="1" t="s">
        <v>564</v>
      </c>
      <c r="F87" s="8" t="str">
        <f>HYPERLINK("https://stat100.ameba.jp/tnk47/ratio20/illustrations/card/ill_64313_akurigurosakanouetamuramaro03.jpg", "■")</f>
        <v>■</v>
      </c>
      <c r="G87" s="1" t="s">
        <v>565</v>
      </c>
      <c r="L87" s="1" t="s">
        <v>985</v>
      </c>
      <c r="M87" s="2">
        <v>13</v>
      </c>
      <c r="N87" s="2">
        <v>77281</v>
      </c>
      <c r="O87" s="2">
        <v>71856</v>
      </c>
      <c r="P87" s="1" t="s">
        <v>566</v>
      </c>
      <c r="Q87" s="1" t="s">
        <v>606</v>
      </c>
    </row>
    <row r="88" spans="1:17">
      <c r="A88" s="2"/>
      <c r="B88" s="2"/>
      <c r="C88" s="2"/>
      <c r="D88" s="2"/>
      <c r="E88" s="2"/>
      <c r="F88" s="2"/>
      <c r="G88" s="2"/>
      <c r="H88" s="2"/>
      <c r="I88" s="2"/>
      <c r="J88" s="2"/>
      <c r="K88" s="2"/>
      <c r="L88" s="2"/>
      <c r="M88" s="2"/>
      <c r="N88" s="2"/>
      <c r="O88" s="2"/>
      <c r="P88" s="2"/>
      <c r="Q88" s="2"/>
    </row>
    <row r="89" spans="1:17">
      <c r="A89" s="1" t="s">
        <v>554</v>
      </c>
      <c r="B89" s="28"/>
      <c r="C89" s="2"/>
      <c r="D89" s="28"/>
      <c r="M89" s="2"/>
      <c r="N89" s="2"/>
      <c r="O89" s="2"/>
    </row>
    <row r="90" spans="1:17">
      <c r="A90" s="1" t="s">
        <v>557</v>
      </c>
      <c r="B90" s="2">
        <v>64723</v>
      </c>
      <c r="C90" s="28" t="s">
        <v>41</v>
      </c>
      <c r="D90" s="28" t="s">
        <v>169</v>
      </c>
      <c r="E90" s="22" t="s">
        <v>2147</v>
      </c>
      <c r="F90" s="8" t="str">
        <f>HYPERLINK("https://stat100.ameba.jp/tnk47/ratio20/illustrations/card/ill_64723_nidaimeshimazugenzo03.jpg", "■")</f>
        <v>■</v>
      </c>
      <c r="G90" s="1" t="s">
        <v>567</v>
      </c>
      <c r="L90" s="1" t="s">
        <v>978</v>
      </c>
      <c r="M90" s="2">
        <v>13</v>
      </c>
      <c r="N90" s="2">
        <v>47195</v>
      </c>
      <c r="O90" s="2">
        <v>50779</v>
      </c>
      <c r="P90" s="1" t="s">
        <v>555</v>
      </c>
      <c r="Q90" s="1" t="s">
        <v>556</v>
      </c>
    </row>
    <row r="91" spans="1:17">
      <c r="A91" s="1" t="s">
        <v>558</v>
      </c>
      <c r="B91" s="2">
        <v>55603</v>
      </c>
      <c r="C91" s="28" t="s">
        <v>41</v>
      </c>
      <c r="D91" s="28" t="s">
        <v>67</v>
      </c>
      <c r="E91" s="22" t="s">
        <v>2148</v>
      </c>
      <c r="F91" s="8" t="str">
        <f>HYPERLINK("https://stat100.ameba.jp/tnk47/ratio20/illustrations/card/ill_55603_daisen03.jpg", "■")</f>
        <v>■</v>
      </c>
      <c r="G91" s="1" t="s">
        <v>568</v>
      </c>
      <c r="L91" s="1" t="s">
        <v>979</v>
      </c>
      <c r="M91" s="2">
        <v>13</v>
      </c>
      <c r="N91" s="2">
        <v>53025</v>
      </c>
      <c r="O91" s="2">
        <v>49296</v>
      </c>
      <c r="P91" s="1" t="s">
        <v>560</v>
      </c>
      <c r="Q91" s="1" t="s">
        <v>928</v>
      </c>
    </row>
    <row r="92" spans="1:17">
      <c r="A92" s="1" t="s">
        <v>642</v>
      </c>
      <c r="B92" s="2">
        <v>65133</v>
      </c>
      <c r="C92" s="28" t="s">
        <v>37</v>
      </c>
      <c r="D92" s="28" t="s">
        <v>209</v>
      </c>
      <c r="E92" s="22" t="s">
        <v>2149</v>
      </c>
      <c r="F92" s="8" t="str">
        <f>HYPERLINK("https://stat100.ameba.jp/tnk47/ratio20/illustrations/card/ill_65133_kimodameshihorakoshosho03.jpg", "■")</f>
        <v>■</v>
      </c>
      <c r="G92" s="1" t="s">
        <v>569</v>
      </c>
      <c r="L92" s="1" t="s">
        <v>980</v>
      </c>
      <c r="M92" s="2">
        <v>13</v>
      </c>
      <c r="N92" s="2">
        <v>47195</v>
      </c>
      <c r="O92" s="2">
        <v>50779</v>
      </c>
      <c r="P92" s="1" t="s">
        <v>561</v>
      </c>
      <c r="Q92" s="1" t="s">
        <v>798</v>
      </c>
    </row>
    <row r="93" spans="1:17">
      <c r="A93" s="1" t="s">
        <v>559</v>
      </c>
      <c r="B93" s="2">
        <v>65253</v>
      </c>
      <c r="C93" s="28" t="s">
        <v>41</v>
      </c>
      <c r="D93" s="28" t="s">
        <v>119</v>
      </c>
      <c r="E93" s="22" t="s">
        <v>2150</v>
      </c>
      <c r="F93" s="8" t="str">
        <f>HYPERLINK("https://stat100.ameba.jp/tnk47/ratio20/illustrations/card/ill_65253_katsuonoeboshi03.jpg", "■")</f>
        <v>■</v>
      </c>
      <c r="G93" s="1" t="s">
        <v>570</v>
      </c>
      <c r="L93" s="1" t="s">
        <v>981</v>
      </c>
      <c r="M93" s="2">
        <v>13</v>
      </c>
      <c r="N93" s="2">
        <v>55258</v>
      </c>
      <c r="O93" s="2">
        <v>51369</v>
      </c>
      <c r="P93" s="1" t="s">
        <v>562</v>
      </c>
      <c r="Q93" s="1" t="s">
        <v>929</v>
      </c>
    </row>
    <row r="94" spans="1:17">
      <c r="B94" s="2"/>
      <c r="C94" s="28"/>
      <c r="D94" s="28"/>
      <c r="E94" s="8"/>
      <c r="F94" s="8"/>
      <c r="N94" s="2"/>
      <c r="O94" s="2"/>
    </row>
    <row r="95" spans="1:17">
      <c r="A95" s="1" t="s">
        <v>584</v>
      </c>
      <c r="B95" s="28"/>
      <c r="C95" s="28"/>
      <c r="D95" s="28"/>
    </row>
    <row r="96" spans="1:17">
      <c r="A96" s="1" t="s">
        <v>593</v>
      </c>
      <c r="B96" s="28">
        <v>65483</v>
      </c>
      <c r="C96" s="28" t="s">
        <v>37</v>
      </c>
      <c r="D96" s="28" t="s">
        <v>67</v>
      </c>
      <c r="E96" s="22" t="s">
        <v>2143</v>
      </c>
      <c r="F96" s="8" t="str">
        <f>HYPERLINK("https://stat100.ameba.jp/tnk47/ratio20/illustrations/card/ill_65483_honosusorinomikoto03.jpg", "■")</f>
        <v>■</v>
      </c>
      <c r="G96" s="1" t="s">
        <v>586</v>
      </c>
      <c r="L96" s="1" t="s">
        <v>975</v>
      </c>
      <c r="M96" s="1">
        <v>13</v>
      </c>
      <c r="N96" s="1">
        <v>49296</v>
      </c>
      <c r="O96" s="1">
        <v>53025</v>
      </c>
      <c r="P96" s="1" t="s">
        <v>585</v>
      </c>
      <c r="Q96" s="1" t="s">
        <v>797</v>
      </c>
    </row>
    <row r="97" spans="1:17">
      <c r="A97" s="1" t="s">
        <v>594</v>
      </c>
      <c r="B97" s="28">
        <v>47953</v>
      </c>
      <c r="C97" s="28" t="s">
        <v>37</v>
      </c>
      <c r="D97" s="28" t="s">
        <v>209</v>
      </c>
      <c r="E97" s="22" t="s">
        <v>2144</v>
      </c>
      <c r="F97" s="8" t="str">
        <f>HYPERLINK("https://stat100.ameba.jp/tnk47/ratio20/illustrations/card/ill_47953_nekomiminene03.jpg", "■")</f>
        <v>■</v>
      </c>
      <c r="G97" s="1" t="s">
        <v>587</v>
      </c>
      <c r="L97" s="1" t="s">
        <v>976</v>
      </c>
      <c r="M97" s="1">
        <v>13</v>
      </c>
      <c r="N97" s="1">
        <v>50779</v>
      </c>
      <c r="O97" s="1">
        <v>47195</v>
      </c>
      <c r="P97" s="1" t="s">
        <v>588</v>
      </c>
      <c r="Q97" s="1" t="s">
        <v>799</v>
      </c>
    </row>
    <row r="98" spans="1:17">
      <c r="A98" s="1" t="s">
        <v>641</v>
      </c>
      <c r="B98" s="28">
        <v>65893</v>
      </c>
      <c r="C98" s="28" t="s">
        <v>41</v>
      </c>
      <c r="D98" s="28" t="s">
        <v>149</v>
      </c>
      <c r="E98" s="22" t="s">
        <v>2145</v>
      </c>
      <c r="F98" s="8" t="str">
        <f>HYPERLINK("https://stat100.ameba.jp/tnk47/ratio20/illustrations/card/ill_65893_arabianhabanero03.jpg", "■")</f>
        <v>■</v>
      </c>
      <c r="G98" s="1" t="s">
        <v>589</v>
      </c>
      <c r="L98" s="1" t="s">
        <v>977</v>
      </c>
      <c r="M98" s="1">
        <v>13</v>
      </c>
      <c r="N98" s="1">
        <v>57088</v>
      </c>
      <c r="O98" s="1">
        <v>61393</v>
      </c>
      <c r="P98" s="1" t="s">
        <v>590</v>
      </c>
      <c r="Q98" s="1" t="s">
        <v>926</v>
      </c>
    </row>
    <row r="99" spans="1:17">
      <c r="A99" s="1" t="s">
        <v>595</v>
      </c>
      <c r="B99" s="28">
        <v>65993</v>
      </c>
      <c r="C99" s="28" t="s">
        <v>41</v>
      </c>
      <c r="D99" s="28" t="s">
        <v>123</v>
      </c>
      <c r="E99" s="22" t="s">
        <v>2146</v>
      </c>
      <c r="F99" s="8" t="str">
        <f>HYPERLINK("https://stat100.ameba.jp/tnk47/ratio20/illustrations/card/ill_65993_osanaikaoru03.jpg", "■")</f>
        <v>■</v>
      </c>
      <c r="G99" s="1" t="s">
        <v>591</v>
      </c>
      <c r="L99" s="1" t="s">
        <v>972</v>
      </c>
      <c r="M99" s="1">
        <v>13</v>
      </c>
      <c r="N99" s="1">
        <v>52713</v>
      </c>
      <c r="O99" s="1">
        <v>49033</v>
      </c>
      <c r="P99" s="1" t="s">
        <v>592</v>
      </c>
      <c r="Q99" s="1" t="s">
        <v>927</v>
      </c>
    </row>
    <row r="100" spans="1:17">
      <c r="A100" s="2"/>
      <c r="B100" s="28"/>
      <c r="C100" s="2"/>
      <c r="D100" s="28"/>
      <c r="M100" s="2"/>
      <c r="N100" s="2"/>
      <c r="O100" s="2"/>
    </row>
    <row r="101" spans="1:17">
      <c r="A101" s="1" t="s">
        <v>628</v>
      </c>
      <c r="B101" s="28"/>
      <c r="C101" s="2"/>
      <c r="D101" s="28"/>
      <c r="M101" s="2"/>
      <c r="N101" s="2"/>
      <c r="O101" s="2"/>
    </row>
    <row r="102" spans="1:17">
      <c r="A102" s="1" t="s">
        <v>625</v>
      </c>
      <c r="B102" s="2">
        <v>66193</v>
      </c>
      <c r="C102" s="28" t="s">
        <v>37</v>
      </c>
      <c r="D102" s="28" t="s">
        <v>59</v>
      </c>
      <c r="E102" s="22" t="s">
        <v>2139</v>
      </c>
      <c r="F102" s="8" t="str">
        <f>HYPERLINK("https://stat100.ameba.jp/tnk47/ratio20/illustrations/card/ill_66193_uesugijinjauesugikenshin03.jpg", "■")</f>
        <v>■</v>
      </c>
      <c r="G102" s="1" t="s">
        <v>629</v>
      </c>
      <c r="H102" s="2"/>
      <c r="I102" s="2"/>
      <c r="J102" s="2"/>
      <c r="K102" s="2"/>
      <c r="L102" s="1" t="s">
        <v>1031</v>
      </c>
      <c r="M102" s="1">
        <v>13</v>
      </c>
      <c r="N102" s="2">
        <v>71856</v>
      </c>
      <c r="O102" s="2">
        <v>77281</v>
      </c>
      <c r="P102" s="1" t="s">
        <v>630</v>
      </c>
      <c r="Q102" s="1" t="s">
        <v>823</v>
      </c>
    </row>
    <row r="103" spans="1:17">
      <c r="A103" s="1" t="s">
        <v>626</v>
      </c>
      <c r="B103" s="2">
        <v>66543</v>
      </c>
      <c r="C103" s="28" t="s">
        <v>41</v>
      </c>
      <c r="D103" s="28" t="s">
        <v>6</v>
      </c>
      <c r="E103" s="22" t="s">
        <v>2140</v>
      </c>
      <c r="F103" s="8" t="str">
        <f>HYPERLINK("https://stat100.ameba.jp/tnk47/ratio20/illustrations/card/ill_66543_kanimeshibentochan03.jpg", "■")</f>
        <v>■</v>
      </c>
      <c r="G103" s="1" t="s">
        <v>631</v>
      </c>
      <c r="H103" s="2"/>
      <c r="I103" s="2"/>
      <c r="J103" s="2"/>
      <c r="K103" s="2"/>
      <c r="L103" s="1" t="s">
        <v>1033</v>
      </c>
      <c r="M103" s="1">
        <v>13</v>
      </c>
      <c r="N103" s="2">
        <v>61393</v>
      </c>
      <c r="O103" s="2">
        <v>57088</v>
      </c>
      <c r="P103" s="1" t="s">
        <v>632</v>
      </c>
      <c r="Q103" s="1" t="s">
        <v>923</v>
      </c>
    </row>
    <row r="104" spans="1:17">
      <c r="A104" s="1" t="s">
        <v>640</v>
      </c>
      <c r="B104" s="2">
        <v>66683</v>
      </c>
      <c r="C104" s="28" t="s">
        <v>41</v>
      </c>
      <c r="D104" s="28" t="s">
        <v>74</v>
      </c>
      <c r="E104" s="22" t="s">
        <v>2141</v>
      </c>
      <c r="F104" s="8" t="str">
        <f>HYPERLINK("https://stat100.ameba.jp/tnk47/ratio20/illustrations/card/ill_66683_shogihakuzosu03.jpg", "■")</f>
        <v>■</v>
      </c>
      <c r="G104" s="1" t="s">
        <v>633</v>
      </c>
      <c r="H104" s="2"/>
      <c r="I104" s="2"/>
      <c r="J104" s="2"/>
      <c r="K104" s="2"/>
      <c r="L104" s="1" t="s">
        <v>1034</v>
      </c>
      <c r="M104" s="1">
        <v>13</v>
      </c>
      <c r="N104" s="2">
        <v>54164</v>
      </c>
      <c r="O104" s="2">
        <v>50371</v>
      </c>
      <c r="P104" s="1" t="s">
        <v>634</v>
      </c>
      <c r="Q104" s="1" t="s">
        <v>924</v>
      </c>
    </row>
    <row r="105" spans="1:17">
      <c r="A105" s="1" t="s">
        <v>627</v>
      </c>
      <c r="B105" s="2">
        <v>66803</v>
      </c>
      <c r="C105" s="28" t="s">
        <v>37</v>
      </c>
      <c r="D105" s="28" t="s">
        <v>169</v>
      </c>
      <c r="E105" s="22" t="s">
        <v>2142</v>
      </c>
      <c r="F105" s="8" t="str">
        <f>HYPERLINK("https://stat100.ameba.jp/tnk47/ratio20/illustrations/card/ill_66803_shodainishikawasenzo03.jpg", "■")</f>
        <v>■</v>
      </c>
      <c r="G105" s="1" t="s">
        <v>635</v>
      </c>
      <c r="H105" s="2"/>
      <c r="I105" s="2"/>
      <c r="J105" s="2"/>
      <c r="K105" s="2"/>
      <c r="L105" s="1" t="s">
        <v>1032</v>
      </c>
      <c r="M105" s="1">
        <v>13</v>
      </c>
      <c r="N105" s="2">
        <v>50779</v>
      </c>
      <c r="O105" s="2">
        <v>47195</v>
      </c>
      <c r="P105" s="1" t="s">
        <v>636</v>
      </c>
      <c r="Q105" s="1" t="s">
        <v>925</v>
      </c>
    </row>
    <row r="106" spans="1:17">
      <c r="A106" s="2"/>
      <c r="B106" s="28"/>
      <c r="C106" s="2"/>
      <c r="D106" s="28"/>
      <c r="M106" s="2"/>
      <c r="N106" s="2"/>
      <c r="O106" s="2"/>
    </row>
    <row r="107" spans="1:17">
      <c r="A107" s="1" t="s">
        <v>659</v>
      </c>
      <c r="B107" s="28"/>
      <c r="C107" s="2"/>
      <c r="D107" s="28"/>
      <c r="M107" s="2"/>
      <c r="N107" s="2"/>
      <c r="O107" s="2"/>
    </row>
    <row r="108" spans="1:17">
      <c r="A108" s="1" t="s">
        <v>660</v>
      </c>
      <c r="B108" s="28">
        <v>66943</v>
      </c>
      <c r="C108" s="28" t="s">
        <v>37</v>
      </c>
      <c r="D108" s="28" t="s">
        <v>123</v>
      </c>
      <c r="E108" s="22" t="s">
        <v>2135</v>
      </c>
      <c r="F108" s="8" t="str">
        <f>HYPERLINK("https://stat100.ameba.jp/tnk47/ratio20/illustrations/card/ill_66943_ikusawakuno03.jpg", "■")</f>
        <v>■</v>
      </c>
      <c r="G108" s="1" t="s">
        <v>665</v>
      </c>
      <c r="H108" s="2"/>
      <c r="I108" s="2"/>
      <c r="J108" s="2"/>
      <c r="K108" s="2"/>
      <c r="L108" s="1" t="s">
        <v>1035</v>
      </c>
      <c r="M108" s="2">
        <v>13</v>
      </c>
      <c r="N108" s="2">
        <v>52713</v>
      </c>
      <c r="O108" s="2">
        <v>49033</v>
      </c>
      <c r="P108" s="1" t="s">
        <v>664</v>
      </c>
      <c r="Q108" s="1" t="s">
        <v>796</v>
      </c>
    </row>
    <row r="109" spans="1:17">
      <c r="A109" s="1" t="s">
        <v>661</v>
      </c>
      <c r="B109" s="28">
        <v>67283</v>
      </c>
      <c r="C109" s="28" t="s">
        <v>41</v>
      </c>
      <c r="D109" s="28" t="s">
        <v>119</v>
      </c>
      <c r="E109" s="22" t="s">
        <v>2136</v>
      </c>
      <c r="F109" s="8" t="str">
        <f>HYPERLINK("https://stat100.ameba.jp/tnk47/ratio20/illustrations/card/ill_67283_sabarukyatto03.jpg", "■")</f>
        <v>■</v>
      </c>
      <c r="G109" s="1" t="s">
        <v>667</v>
      </c>
      <c r="H109" s="2"/>
      <c r="I109" s="2"/>
      <c r="J109" s="2"/>
      <c r="K109" s="2"/>
      <c r="L109" s="1" t="s">
        <v>1038</v>
      </c>
      <c r="M109" s="2">
        <v>13</v>
      </c>
      <c r="N109" s="2">
        <v>51369</v>
      </c>
      <c r="O109" s="2">
        <v>55258</v>
      </c>
      <c r="P109" s="1" t="s">
        <v>666</v>
      </c>
      <c r="Q109" s="1" t="s">
        <v>920</v>
      </c>
    </row>
    <row r="110" spans="1:17">
      <c r="A110" s="1" t="s">
        <v>662</v>
      </c>
      <c r="B110" s="28">
        <v>67423</v>
      </c>
      <c r="C110" s="28" t="s">
        <v>41</v>
      </c>
      <c r="D110" s="28" t="s">
        <v>44</v>
      </c>
      <c r="E110" s="22" t="s">
        <v>2137</v>
      </c>
      <c r="F110" s="8" t="str">
        <f>HYPERLINK("https://stat100.ameba.jp/tnk47/ratio20/illustrations/card/ill_67423_yoigokochimeigetsuhime03.jpg", "■")</f>
        <v>■</v>
      </c>
      <c r="G110" s="1" t="s">
        <v>669</v>
      </c>
      <c r="H110" s="2"/>
      <c r="I110" s="2"/>
      <c r="J110" s="2"/>
      <c r="K110" s="2"/>
      <c r="L110" s="1" t="s">
        <v>1037</v>
      </c>
      <c r="M110" s="2">
        <v>13</v>
      </c>
      <c r="N110" s="2">
        <v>59328</v>
      </c>
      <c r="O110" s="2">
        <v>55062</v>
      </c>
      <c r="P110" s="1" t="s">
        <v>668</v>
      </c>
      <c r="Q110" s="1" t="s">
        <v>921</v>
      </c>
    </row>
    <row r="111" spans="1:17">
      <c r="A111" s="1" t="s">
        <v>663</v>
      </c>
      <c r="B111" s="28">
        <v>67543</v>
      </c>
      <c r="C111" s="28" t="s">
        <v>37</v>
      </c>
      <c r="D111" s="28" t="s">
        <v>67</v>
      </c>
      <c r="E111" s="22" t="s">
        <v>2138</v>
      </c>
      <c r="F111" s="8" t="str">
        <f>HYPERLINK("https://stat100.ameba.jp/tnk47/ratio20/illustrations/card/ill_67543_aonoryuzetsuran03.jpg", "■")</f>
        <v>■</v>
      </c>
      <c r="G111" s="1" t="s">
        <v>671</v>
      </c>
      <c r="H111" s="2"/>
      <c r="I111" s="2"/>
      <c r="J111" s="2"/>
      <c r="K111" s="2"/>
      <c r="L111" s="1" t="s">
        <v>1036</v>
      </c>
      <c r="M111" s="2">
        <v>13</v>
      </c>
      <c r="N111" s="2">
        <v>49296</v>
      </c>
      <c r="O111" s="2">
        <v>53025</v>
      </c>
      <c r="P111" s="1" t="s">
        <v>670</v>
      </c>
      <c r="Q111" s="1" t="s">
        <v>922</v>
      </c>
    </row>
    <row r="112" spans="1:17" s="61" customFormat="1">
      <c r="B112" s="2"/>
      <c r="M112" s="2"/>
      <c r="N112" s="2"/>
      <c r="O112" s="2"/>
    </row>
    <row r="113" spans="1:17">
      <c r="A113" s="1" t="s">
        <v>693</v>
      </c>
      <c r="B113" s="28"/>
      <c r="C113" s="2"/>
      <c r="D113" s="28"/>
      <c r="M113" s="2"/>
      <c r="N113" s="2"/>
      <c r="O113" s="2"/>
    </row>
    <row r="114" spans="1:17">
      <c r="A114" s="1" t="s">
        <v>702</v>
      </c>
      <c r="B114" s="28">
        <v>67783</v>
      </c>
      <c r="C114" s="28" t="s">
        <v>41</v>
      </c>
      <c r="D114" s="28" t="s">
        <v>154</v>
      </c>
      <c r="E114" s="22" t="s">
        <v>2131</v>
      </c>
      <c r="F114" s="8" t="str">
        <f>HYPERLINK("https://stat100.ameba.jp/tnk47/ratio20/illustrations/card/ill_67783_ginfubukiyukijoro03.jpg", "■")</f>
        <v>■</v>
      </c>
      <c r="G114" s="1" t="s">
        <v>695</v>
      </c>
      <c r="H114" s="2"/>
      <c r="I114" s="2"/>
      <c r="J114" s="2"/>
      <c r="K114" s="2"/>
      <c r="L114" s="1" t="s">
        <v>2810</v>
      </c>
      <c r="M114" s="2">
        <v>13</v>
      </c>
      <c r="N114" s="2">
        <v>59328</v>
      </c>
      <c r="O114" s="2">
        <v>55062</v>
      </c>
      <c r="P114" s="1" t="s">
        <v>694</v>
      </c>
      <c r="Q114" s="1" t="s">
        <v>917</v>
      </c>
    </row>
    <row r="115" spans="1:17">
      <c r="A115" s="1" t="s">
        <v>703</v>
      </c>
      <c r="B115" s="28">
        <v>68143</v>
      </c>
      <c r="C115" s="28" t="s">
        <v>37</v>
      </c>
      <c r="D115" s="28" t="s">
        <v>67</v>
      </c>
      <c r="E115" s="22" t="s">
        <v>2132</v>
      </c>
      <c r="F115" s="8" t="str">
        <f>HYPERLINK("https://stat100.ameba.jp/tnk47/ratio20/illustrations/card/ill_68143_kuwagamiajisukitakahikone03.jpg", "■")</f>
        <v>■</v>
      </c>
      <c r="G115" s="1" t="s">
        <v>697</v>
      </c>
      <c r="H115" s="2"/>
      <c r="I115" s="2"/>
      <c r="J115" s="2"/>
      <c r="K115" s="2"/>
      <c r="L115" s="1" t="s">
        <v>2808</v>
      </c>
      <c r="M115" s="2">
        <v>13</v>
      </c>
      <c r="N115" s="2">
        <v>53025</v>
      </c>
      <c r="O115" s="2">
        <v>49296</v>
      </c>
      <c r="P115" s="1" t="s">
        <v>696</v>
      </c>
      <c r="Q115" s="1" t="s">
        <v>816</v>
      </c>
    </row>
    <row r="116" spans="1:17">
      <c r="A116" s="1" t="s">
        <v>704</v>
      </c>
      <c r="B116" s="28">
        <v>68283</v>
      </c>
      <c r="C116" s="28" t="s">
        <v>37</v>
      </c>
      <c r="D116" s="28" t="s">
        <v>169</v>
      </c>
      <c r="E116" s="22" t="s">
        <v>2133</v>
      </c>
      <c r="F116" s="8" t="str">
        <f>HYPERLINK("https://stat100.ameba.jp/tnk47/ratio20/illustrations/card/ill_68283_shurambonenkaikitaharasatoko03.jpg", "■")</f>
        <v>■</v>
      </c>
      <c r="G116" s="1" t="s">
        <v>699</v>
      </c>
      <c r="H116" s="2"/>
      <c r="I116" s="2"/>
      <c r="J116" s="2"/>
      <c r="K116" s="2"/>
      <c r="L116" s="1" t="s">
        <v>973</v>
      </c>
      <c r="M116" s="2">
        <v>13</v>
      </c>
      <c r="N116" s="2">
        <v>50779</v>
      </c>
      <c r="O116" s="2">
        <v>47195</v>
      </c>
      <c r="P116" s="1" t="s">
        <v>698</v>
      </c>
      <c r="Q116" s="1" t="s">
        <v>918</v>
      </c>
    </row>
    <row r="117" spans="1:17">
      <c r="A117" s="1" t="s">
        <v>705</v>
      </c>
      <c r="B117" s="28">
        <v>68403</v>
      </c>
      <c r="C117" s="28" t="s">
        <v>41</v>
      </c>
      <c r="D117" s="28" t="s">
        <v>209</v>
      </c>
      <c r="E117" s="22" t="s">
        <v>2134</v>
      </c>
      <c r="F117" s="8" t="str">
        <f>HYPERLINK("https://stat100.ameba.jp/tnk47/ratio20/illustrations/card/ill_68403_kutsukimagudarena03.jpg", "■")</f>
        <v>■</v>
      </c>
      <c r="G117" s="1" t="s">
        <v>700</v>
      </c>
      <c r="H117" s="2"/>
      <c r="I117" s="2"/>
      <c r="J117" s="2"/>
      <c r="K117" s="2"/>
      <c r="L117" s="1" t="s">
        <v>2809</v>
      </c>
      <c r="M117" s="2">
        <v>13</v>
      </c>
      <c r="N117" s="2">
        <v>47195</v>
      </c>
      <c r="O117" s="2">
        <v>50779</v>
      </c>
      <c r="P117" s="1" t="s">
        <v>701</v>
      </c>
      <c r="Q117" s="1" t="s">
        <v>919</v>
      </c>
    </row>
    <row r="119" spans="1:17">
      <c r="B119" s="28"/>
      <c r="C119" s="28"/>
      <c r="D119" s="28"/>
    </row>
    <row r="120" spans="1:17">
      <c r="A120" s="1" t="s">
        <v>3246</v>
      </c>
      <c r="B120" s="28"/>
      <c r="C120" s="2"/>
      <c r="D120" s="28"/>
      <c r="M120" s="2"/>
      <c r="N120" s="2"/>
      <c r="O120" s="2"/>
    </row>
    <row r="121" spans="1:17">
      <c r="A121" s="1" t="s">
        <v>771</v>
      </c>
      <c r="B121" s="2">
        <v>68533</v>
      </c>
      <c r="C121" s="28" t="s">
        <v>37</v>
      </c>
      <c r="D121" s="28" t="s">
        <v>51</v>
      </c>
      <c r="E121" s="22" t="s">
        <v>2130</v>
      </c>
      <c r="F121" s="8" t="str">
        <f>HYPERLINK("https://stat100.ameba.jp/tnk47/ratio20/illustrations/card/ill_68533_toroiseki03.jpg", "■")</f>
        <v>■</v>
      </c>
      <c r="G121" s="1" t="s">
        <v>781</v>
      </c>
      <c r="L121" s="1" t="s">
        <v>2850</v>
      </c>
      <c r="M121" s="2">
        <v>13</v>
      </c>
      <c r="N121" s="2">
        <v>55258</v>
      </c>
      <c r="O121" s="2">
        <v>51369</v>
      </c>
      <c r="P121" s="1" t="s">
        <v>780</v>
      </c>
      <c r="Q121" s="1" t="s">
        <v>913</v>
      </c>
    </row>
    <row r="122" spans="1:17">
      <c r="A122" s="1" t="s">
        <v>772</v>
      </c>
      <c r="B122" s="2">
        <v>68893</v>
      </c>
      <c r="C122" s="28" t="s">
        <v>41</v>
      </c>
      <c r="D122" s="28" t="s">
        <v>154</v>
      </c>
      <c r="E122" s="22" t="s">
        <v>2928</v>
      </c>
      <c r="F122" s="8" t="str">
        <f>HYPERLINK("https://stat100.ameba.jp/tnk47/ratio20/illustrations/card/ill_68893_niramitai03.jpg", "■")</f>
        <v>■</v>
      </c>
      <c r="G122" s="1" t="s">
        <v>779</v>
      </c>
      <c r="H122" s="45"/>
      <c r="I122" s="39"/>
      <c r="J122" s="43"/>
      <c r="L122" s="1" t="s">
        <v>2933</v>
      </c>
      <c r="M122" s="2">
        <v>13</v>
      </c>
      <c r="N122" s="2">
        <v>55062</v>
      </c>
      <c r="O122" s="2">
        <v>59328</v>
      </c>
      <c r="P122" s="1" t="s">
        <v>778</v>
      </c>
      <c r="Q122" s="1" t="s">
        <v>914</v>
      </c>
    </row>
    <row r="123" spans="1:17">
      <c r="A123" s="1" t="s">
        <v>773</v>
      </c>
      <c r="B123" s="28">
        <v>69033</v>
      </c>
      <c r="C123" s="28" t="s">
        <v>41</v>
      </c>
      <c r="D123" s="28" t="s">
        <v>26</v>
      </c>
      <c r="E123" s="22" t="s">
        <v>2927</v>
      </c>
      <c r="F123" s="8" t="str">
        <f>HYPERLINK("https://stat100.ameba.jp/tnk47/ratio20/illustrations/card/ill_69033_uintasupotsukimuraakebono03.jpg", "■")</f>
        <v>■</v>
      </c>
      <c r="G123" s="1" t="s">
        <v>777</v>
      </c>
      <c r="L123" s="36" t="s">
        <v>3185</v>
      </c>
      <c r="M123" s="2">
        <v>13</v>
      </c>
      <c r="N123" s="2">
        <v>49033</v>
      </c>
      <c r="O123" s="2">
        <v>52713</v>
      </c>
      <c r="P123" s="1" t="s">
        <v>776</v>
      </c>
      <c r="Q123" s="1" t="s">
        <v>915</v>
      </c>
    </row>
    <row r="124" spans="1:17">
      <c r="A124" s="1" t="s">
        <v>782</v>
      </c>
      <c r="B124" s="2">
        <v>69153</v>
      </c>
      <c r="C124" s="28" t="s">
        <v>37</v>
      </c>
      <c r="D124" s="28" t="s">
        <v>191</v>
      </c>
      <c r="E124" s="22" t="s">
        <v>2926</v>
      </c>
      <c r="F124" s="8" t="str">
        <f>HYPERLINK("https://stat100.ameba.jp/tnk47/ratio20/illustrations/card/ill_69153_sempukubanraizashikiwarashi03.jpg", "■")</f>
        <v>■</v>
      </c>
      <c r="G124" s="1" t="s">
        <v>775</v>
      </c>
      <c r="I124" s="42"/>
      <c r="L124" s="36" t="s">
        <v>2934</v>
      </c>
      <c r="M124" s="2">
        <v>13</v>
      </c>
      <c r="N124" s="2">
        <v>54164</v>
      </c>
      <c r="O124" s="2">
        <v>50371</v>
      </c>
      <c r="P124" s="1" t="s">
        <v>774</v>
      </c>
      <c r="Q124" s="1" t="s">
        <v>916</v>
      </c>
    </row>
    <row r="125" spans="1:17">
      <c r="B125" s="2"/>
      <c r="C125" s="28"/>
      <c r="D125" s="28"/>
      <c r="M125" s="2"/>
      <c r="N125" s="2"/>
      <c r="O125" s="2"/>
    </row>
    <row r="126" spans="1:17">
      <c r="A126" s="1" t="s">
        <v>3247</v>
      </c>
    </row>
    <row r="127" spans="1:17">
      <c r="A127" s="1" t="s">
        <v>960</v>
      </c>
      <c r="B127" s="28">
        <v>69353</v>
      </c>
      <c r="C127" s="28" t="s">
        <v>10</v>
      </c>
      <c r="D127" s="28" t="s">
        <v>17</v>
      </c>
      <c r="E127" s="22" t="s">
        <v>2929</v>
      </c>
      <c r="F127" s="8" t="str">
        <f>HYPERLINK("https://stat100.ameba.jp/tnk47/ratio20/illustrations/card/ill_69353_shosenin03.jpg", "■")</f>
        <v>■</v>
      </c>
      <c r="G127" s="1" t="s">
        <v>965</v>
      </c>
      <c r="H127" s="55"/>
      <c r="L127" s="1" t="s">
        <v>2935</v>
      </c>
      <c r="M127" s="1">
        <v>13</v>
      </c>
      <c r="N127" s="1">
        <v>47195</v>
      </c>
      <c r="O127" s="1">
        <v>50779</v>
      </c>
      <c r="P127" s="1" t="s">
        <v>964</v>
      </c>
      <c r="Q127" s="1" t="s">
        <v>798</v>
      </c>
    </row>
    <row r="128" spans="1:17">
      <c r="A128" s="1" t="s">
        <v>961</v>
      </c>
      <c r="B128" s="28">
        <v>69703</v>
      </c>
      <c r="C128" s="28" t="s">
        <v>10</v>
      </c>
      <c r="D128" s="28" t="s">
        <v>87</v>
      </c>
      <c r="E128" s="22" t="s">
        <v>2127</v>
      </c>
      <c r="F128" s="8" t="str">
        <f>HYPERLINK("https://stat100.ameba.jp/tnk47/ratio20/illustrations/card/ill_69703_shindoninomiyakinjiro03.jpg", "■")</f>
        <v>■</v>
      </c>
      <c r="G128" s="1" t="s">
        <v>967</v>
      </c>
      <c r="H128" s="47"/>
      <c r="L128" s="36" t="s">
        <v>2851</v>
      </c>
      <c r="M128" s="1">
        <v>13</v>
      </c>
      <c r="N128" s="1">
        <v>50779</v>
      </c>
      <c r="O128" s="1">
        <v>47195</v>
      </c>
      <c r="P128" s="1" t="s">
        <v>966</v>
      </c>
      <c r="Q128" s="1" t="s">
        <v>131</v>
      </c>
    </row>
    <row r="129" spans="1:17">
      <c r="A129" s="1" t="s">
        <v>962</v>
      </c>
      <c r="B129" s="28">
        <v>69843</v>
      </c>
      <c r="C129" s="28" t="s">
        <v>14</v>
      </c>
      <c r="D129" s="28" t="s">
        <v>96</v>
      </c>
      <c r="E129" s="22" t="s">
        <v>2128</v>
      </c>
      <c r="F129" s="8" t="str">
        <f>HYPERLINK("https://stat100.ameba.jp/tnk47/ratio20/illustrations/card/ill_69843_kyupiddomimuratsuru03.jpg", "■")</f>
        <v>■</v>
      </c>
      <c r="G129" s="1" t="s">
        <v>969</v>
      </c>
      <c r="H129" s="40"/>
      <c r="L129" s="1" t="s">
        <v>2849</v>
      </c>
      <c r="M129" s="1">
        <v>13</v>
      </c>
      <c r="N129" s="1">
        <v>77281</v>
      </c>
      <c r="O129" s="1">
        <v>71856</v>
      </c>
      <c r="P129" s="1" t="s">
        <v>968</v>
      </c>
      <c r="Q129" s="1" t="s">
        <v>1984</v>
      </c>
    </row>
    <row r="130" spans="1:17">
      <c r="A130" s="1" t="s">
        <v>963</v>
      </c>
      <c r="B130" s="28">
        <v>69973</v>
      </c>
      <c r="C130" s="28" t="s">
        <v>14</v>
      </c>
      <c r="D130" s="28" t="s">
        <v>149</v>
      </c>
      <c r="E130" s="22" t="s">
        <v>2129</v>
      </c>
      <c r="F130" s="8" t="str">
        <f>HYPERLINK("https://stat100.ameba.jp/tnk47/ratio20/illustrations/card/ill_69973_yukinoukokukyoame03.jpg", "■")</f>
        <v>■</v>
      </c>
      <c r="G130" s="1" t="s">
        <v>971</v>
      </c>
      <c r="L130" s="1" t="s">
        <v>2937</v>
      </c>
      <c r="M130" s="1">
        <v>13</v>
      </c>
      <c r="N130" s="1">
        <v>61393</v>
      </c>
      <c r="O130" s="1">
        <v>57088</v>
      </c>
      <c r="P130" s="1" t="s">
        <v>970</v>
      </c>
      <c r="Q130" s="1" t="s">
        <v>923</v>
      </c>
    </row>
    <row r="131" spans="1:17" s="52" customFormat="1">
      <c r="C131" s="2"/>
      <c r="M131" s="2"/>
      <c r="N131" s="2"/>
      <c r="O131" s="2"/>
    </row>
    <row r="132" spans="1:17" s="38" customFormat="1">
      <c r="A132" s="38" t="s">
        <v>2818</v>
      </c>
      <c r="C132" s="2"/>
      <c r="M132" s="2"/>
      <c r="N132" s="2"/>
      <c r="O132" s="2"/>
    </row>
    <row r="133" spans="1:17" s="38" customFormat="1">
      <c r="A133" s="38" t="s">
        <v>2831</v>
      </c>
      <c r="B133" s="38">
        <v>70223</v>
      </c>
      <c r="C133" s="38" t="s">
        <v>14</v>
      </c>
      <c r="D133" s="38" t="s">
        <v>191</v>
      </c>
      <c r="E133" s="38" t="s">
        <v>2822</v>
      </c>
      <c r="F133" s="8" t="str">
        <f>HYPERLINK("https://stat100.ameba.jp/tnk47/ratio20/illustrations/card/ill_70223_konjakuhyakkishuibashonosei03.jpg", "■")</f>
        <v>■</v>
      </c>
      <c r="G133" s="38" t="s">
        <v>2824</v>
      </c>
      <c r="I133" s="48"/>
      <c r="L133" s="38" t="s">
        <v>2845</v>
      </c>
      <c r="M133" s="38">
        <v>13</v>
      </c>
      <c r="N133" s="2">
        <v>57088</v>
      </c>
      <c r="O133" s="2">
        <v>61393</v>
      </c>
      <c r="P133" s="38" t="s">
        <v>2823</v>
      </c>
      <c r="Q133" s="38" t="s">
        <v>3072</v>
      </c>
    </row>
    <row r="134" spans="1:17" s="38" customFormat="1">
      <c r="A134" s="38" t="s">
        <v>2832</v>
      </c>
      <c r="B134" s="38">
        <v>70563</v>
      </c>
      <c r="C134" s="38" t="s">
        <v>14</v>
      </c>
      <c r="D134" s="38" t="s">
        <v>17</v>
      </c>
      <c r="E134" s="38" t="s">
        <v>2825</v>
      </c>
      <c r="F134" s="8" t="str">
        <f>HYPERLINK("https://stat100.ameba.jp/tnk47/ratio20/illustrations/card/ill_70563_eishokotaigo03.jpg", "■")</f>
        <v>■</v>
      </c>
      <c r="G134" s="38" t="s">
        <v>2826</v>
      </c>
      <c r="L134" s="38" t="s">
        <v>2871</v>
      </c>
      <c r="M134" s="38">
        <v>13</v>
      </c>
      <c r="N134" s="2">
        <v>50779</v>
      </c>
      <c r="O134" s="2">
        <v>47195</v>
      </c>
      <c r="P134" s="38" t="s">
        <v>2827</v>
      </c>
      <c r="Q134" s="38" t="s">
        <v>799</v>
      </c>
    </row>
    <row r="135" spans="1:17" s="38" customFormat="1">
      <c r="A135" s="38" t="s">
        <v>2833</v>
      </c>
      <c r="B135" s="38">
        <v>70703</v>
      </c>
      <c r="C135" s="2" t="s">
        <v>41</v>
      </c>
      <c r="D135" s="38" t="s">
        <v>119</v>
      </c>
      <c r="E135" s="38" t="s">
        <v>2828</v>
      </c>
      <c r="F135" s="8" t="str">
        <f>HYPERLINK("https://stat100.ameba.jp/tnk47/ratio20/illustrations/card/ill_70703_howaitodebotan03.jpg", "■")</f>
        <v>■</v>
      </c>
      <c r="G135" s="38" t="s">
        <v>2829</v>
      </c>
      <c r="L135" s="38" t="s">
        <v>2970</v>
      </c>
      <c r="M135" s="38">
        <v>13</v>
      </c>
      <c r="N135" s="2">
        <v>55062</v>
      </c>
      <c r="O135" s="2">
        <v>59222</v>
      </c>
      <c r="P135" s="38" t="s">
        <v>2830</v>
      </c>
      <c r="Q135" s="38" t="s">
        <v>3073</v>
      </c>
    </row>
    <row r="136" spans="1:17" s="38" customFormat="1">
      <c r="A136" s="2" t="s">
        <v>2834</v>
      </c>
      <c r="B136" s="38">
        <v>70823</v>
      </c>
      <c r="C136" s="2" t="s">
        <v>37</v>
      </c>
      <c r="D136" s="38" t="s">
        <v>44</v>
      </c>
      <c r="E136" s="38" t="s">
        <v>2819</v>
      </c>
      <c r="F136" s="8" t="str">
        <f>HYPERLINK("https://stat100.ameba.jp/tnk47/ratio20/illustrations/card/ill_70823_indoshinwakonjikihime03.jpg", "■")</f>
        <v>■</v>
      </c>
      <c r="G136" s="38" t="s">
        <v>2820</v>
      </c>
      <c r="L136" s="38" t="s">
        <v>2844</v>
      </c>
      <c r="M136" s="38">
        <v>13</v>
      </c>
      <c r="N136" s="2">
        <v>55062</v>
      </c>
      <c r="O136" s="2">
        <v>59328</v>
      </c>
      <c r="P136" s="38" t="s">
        <v>2821</v>
      </c>
      <c r="Q136" s="38" t="s">
        <v>3074</v>
      </c>
    </row>
    <row r="137" spans="1:17" s="53" customFormat="1">
      <c r="C137" s="2"/>
      <c r="M137" s="2"/>
      <c r="N137" s="2"/>
      <c r="O137" s="2"/>
    </row>
    <row r="138" spans="1:17" s="52" customFormat="1">
      <c r="A138" s="52" t="s">
        <v>3244</v>
      </c>
      <c r="C138" s="2"/>
      <c r="M138" s="2"/>
      <c r="N138" s="2"/>
      <c r="O138" s="2"/>
    </row>
    <row r="139" spans="1:17" s="52" customFormat="1">
      <c r="A139" s="52" t="s">
        <v>2884</v>
      </c>
      <c r="B139" s="52">
        <v>71153</v>
      </c>
      <c r="C139" s="2" t="s">
        <v>41</v>
      </c>
      <c r="D139" s="52" t="s">
        <v>6</v>
      </c>
      <c r="E139" s="52" t="s">
        <v>2872</v>
      </c>
      <c r="F139" s="8" t="str">
        <f>HYPERLINK("https://stat100.ameba.jp/tnk47/ratio20/illustrations/card/ill_71153_dekamoriokonomiyaki03.jpg", "■")</f>
        <v>■</v>
      </c>
      <c r="G139" s="52" t="s">
        <v>2874</v>
      </c>
      <c r="L139" s="52" t="s">
        <v>2936</v>
      </c>
      <c r="M139" s="52">
        <v>13</v>
      </c>
      <c r="N139" s="2">
        <v>61393</v>
      </c>
      <c r="O139" s="2">
        <v>57088</v>
      </c>
      <c r="P139" s="52" t="s">
        <v>2873</v>
      </c>
      <c r="Q139" s="52" t="s">
        <v>163</v>
      </c>
    </row>
    <row r="140" spans="1:17" s="52" customFormat="1">
      <c r="A140" s="52" t="s">
        <v>2885</v>
      </c>
      <c r="B140" s="52">
        <v>71513</v>
      </c>
      <c r="C140" s="2" t="s">
        <v>41</v>
      </c>
      <c r="D140" s="52" t="s">
        <v>74</v>
      </c>
      <c r="E140" s="52" t="s">
        <v>2875</v>
      </c>
      <c r="F140" s="8" t="str">
        <f>HYPERLINK("https://stat100.ameba.jp/tnk47/ratio20/illustrations/card/ill_71513_garei03.jpg", "■")</f>
        <v>■</v>
      </c>
      <c r="G140" s="52" t="s">
        <v>2876</v>
      </c>
      <c r="L140" s="52" t="s">
        <v>3194</v>
      </c>
      <c r="M140" s="52">
        <v>13</v>
      </c>
      <c r="N140" s="2">
        <v>50371</v>
      </c>
      <c r="O140" s="2">
        <v>54164</v>
      </c>
      <c r="P140" s="52" t="s">
        <v>2877</v>
      </c>
      <c r="Q140" s="52" t="s">
        <v>1736</v>
      </c>
    </row>
    <row r="141" spans="1:17" s="52" customFormat="1">
      <c r="A141" s="52" t="s">
        <v>2886</v>
      </c>
      <c r="B141" s="52">
        <v>71653</v>
      </c>
      <c r="C141" s="2" t="s">
        <v>37</v>
      </c>
      <c r="D141" s="52" t="s">
        <v>67</v>
      </c>
      <c r="E141" s="52" t="s">
        <v>2878</v>
      </c>
      <c r="F141" s="8" t="str">
        <f>HYPERLINK("https://stat100.ameba.jp/tnk47/ratio20/illustrations/card/ill_71653_shokugyotaikenryugunotsukai03.jpg", "■")</f>
        <v>■</v>
      </c>
      <c r="G141" s="52" t="s">
        <v>2879</v>
      </c>
      <c r="L141" s="52" t="s">
        <v>3196</v>
      </c>
      <c r="M141" s="52">
        <v>13</v>
      </c>
      <c r="N141" s="2">
        <v>47195</v>
      </c>
      <c r="O141" s="2">
        <v>50779</v>
      </c>
      <c r="P141" s="52" t="s">
        <v>2880</v>
      </c>
      <c r="Q141" s="52" t="s">
        <v>3075</v>
      </c>
    </row>
    <row r="142" spans="1:17" s="52" customFormat="1">
      <c r="A142" s="2" t="s">
        <v>2887</v>
      </c>
      <c r="B142" s="52">
        <v>71773</v>
      </c>
      <c r="C142" s="2" t="s">
        <v>37</v>
      </c>
      <c r="D142" s="52" t="s">
        <v>123</v>
      </c>
      <c r="E142" s="52" t="s">
        <v>2881</v>
      </c>
      <c r="F142" s="8" t="str">
        <f>HYPERLINK("https://stat100.ameba.jp/tnk47/ratio20/illustrations/card/ill_71773_shibusawaeiichi03.jpg", "■")</f>
        <v>■</v>
      </c>
      <c r="G142" s="52" t="s">
        <v>2882</v>
      </c>
      <c r="L142" s="52" t="s">
        <v>3202</v>
      </c>
      <c r="M142" s="52">
        <v>13</v>
      </c>
      <c r="N142" s="2">
        <v>49033</v>
      </c>
      <c r="O142" s="2">
        <v>52713</v>
      </c>
      <c r="P142" s="52" t="s">
        <v>2883</v>
      </c>
      <c r="Q142" s="52" t="s">
        <v>3076</v>
      </c>
    </row>
    <row r="143" spans="1:17" s="63" customFormat="1">
      <c r="A143" s="2"/>
      <c r="C143" s="2"/>
      <c r="F143" s="8"/>
      <c r="N143" s="2"/>
      <c r="O143" s="2"/>
    </row>
    <row r="144" spans="1:17" s="53" customFormat="1">
      <c r="A144" s="53" t="s">
        <v>3248</v>
      </c>
      <c r="C144" s="2"/>
      <c r="M144" s="2"/>
      <c r="N144" s="2"/>
      <c r="O144" s="2"/>
    </row>
    <row r="145" spans="1:17" s="53" customFormat="1">
      <c r="A145" s="53" t="s">
        <v>2888</v>
      </c>
      <c r="B145" s="53">
        <v>72003</v>
      </c>
      <c r="C145" s="2" t="s">
        <v>41</v>
      </c>
      <c r="D145" s="53" t="s">
        <v>59</v>
      </c>
      <c r="E145" s="53" t="s">
        <v>2891</v>
      </c>
      <c r="F145" s="8" t="str">
        <f>HYPERLINK("https://stat100.ameba.jp/tnk47/ratio20/illustrations/card/ill_72003_nihongomoritomonobu03.jpg", "■")</f>
        <v>■</v>
      </c>
      <c r="G145" s="53" t="s">
        <v>2892</v>
      </c>
      <c r="L145" s="53" t="s">
        <v>3195</v>
      </c>
      <c r="M145" s="53">
        <v>13</v>
      </c>
      <c r="N145" s="2">
        <v>52713</v>
      </c>
      <c r="O145" s="2">
        <v>49033</v>
      </c>
      <c r="P145" s="53" t="s">
        <v>2893</v>
      </c>
      <c r="Q145" s="53" t="s">
        <v>1867</v>
      </c>
    </row>
    <row r="146" spans="1:17" s="53" customFormat="1">
      <c r="A146" s="53" t="s">
        <v>2889</v>
      </c>
      <c r="B146" s="53">
        <v>72343</v>
      </c>
      <c r="C146" s="2" t="s">
        <v>37</v>
      </c>
      <c r="D146" s="53" t="s">
        <v>6</v>
      </c>
      <c r="E146" s="53" t="s">
        <v>2894</v>
      </c>
      <c r="F146" s="8" t="str">
        <f>HYPERLINK("https://stat100.ameba.jp/tnk47/ratio20/illustrations/card/ill_72343_hinaijidori03.jpg", "■")</f>
        <v>■</v>
      </c>
      <c r="G146" s="53" t="s">
        <v>2895</v>
      </c>
      <c r="L146" s="53" t="s">
        <v>3000</v>
      </c>
      <c r="M146" s="53">
        <v>13</v>
      </c>
      <c r="N146" s="2">
        <v>57088</v>
      </c>
      <c r="O146" s="2">
        <v>61393</v>
      </c>
      <c r="P146" s="53" t="s">
        <v>2896</v>
      </c>
      <c r="Q146" s="53" t="s">
        <v>2095</v>
      </c>
    </row>
    <row r="147" spans="1:17" s="53" customFormat="1">
      <c r="A147" s="53" t="s">
        <v>2890</v>
      </c>
      <c r="B147" s="53">
        <v>72483</v>
      </c>
      <c r="C147" s="2" t="s">
        <v>37</v>
      </c>
      <c r="D147" s="53" t="s">
        <v>74</v>
      </c>
      <c r="E147" s="53" t="s">
        <v>2897</v>
      </c>
      <c r="F147" s="8" t="str">
        <f>HYPERLINK("https://stat100.ameba.jp/tnk47/ratio20/illustrations/card/ill_72483_safuaripakutsuraraonna03.jpg", "■")</f>
        <v>■</v>
      </c>
      <c r="G147" s="53" t="s">
        <v>2898</v>
      </c>
      <c r="L147" s="53" t="s">
        <v>3188</v>
      </c>
      <c r="M147" s="53">
        <v>13</v>
      </c>
      <c r="N147" s="2">
        <v>50371</v>
      </c>
      <c r="O147" s="2">
        <v>54164</v>
      </c>
      <c r="P147" s="53" t="s">
        <v>2899</v>
      </c>
      <c r="Q147" s="53" t="s">
        <v>1738</v>
      </c>
    </row>
    <row r="148" spans="1:17" s="53" customFormat="1">
      <c r="A148" s="2" t="s">
        <v>2903</v>
      </c>
      <c r="B148" s="53">
        <v>72603</v>
      </c>
      <c r="C148" s="2" t="s">
        <v>37</v>
      </c>
      <c r="D148" s="53" t="s">
        <v>209</v>
      </c>
      <c r="E148" s="53" t="s">
        <v>2900</v>
      </c>
      <c r="F148" s="8" t="str">
        <f>HYPERLINK("https://stat100.ameba.jp/tnk47/ratio20/illustrations/card/ill_72603_onnajoshuiinaotora03.jpg", "■")</f>
        <v>■</v>
      </c>
      <c r="G148" s="53" t="s">
        <v>2901</v>
      </c>
      <c r="L148" s="53" t="s">
        <v>3191</v>
      </c>
      <c r="M148" s="53">
        <v>13</v>
      </c>
      <c r="N148" s="2">
        <v>47195</v>
      </c>
      <c r="O148" s="2">
        <v>50779</v>
      </c>
      <c r="P148" s="53" t="s">
        <v>2902</v>
      </c>
      <c r="Q148" s="53" t="s">
        <v>798</v>
      </c>
    </row>
    <row r="149" spans="1:17">
      <c r="B149" s="2"/>
      <c r="C149" s="28"/>
      <c r="D149" s="28"/>
      <c r="M149" s="2"/>
      <c r="O149" s="2"/>
    </row>
    <row r="150" spans="1:17">
      <c r="A150" s="70" t="s">
        <v>3164</v>
      </c>
      <c r="B150" s="70"/>
      <c r="C150" s="2"/>
      <c r="D150" s="70"/>
      <c r="E150" s="70"/>
      <c r="F150" s="70"/>
      <c r="G150" s="70"/>
      <c r="H150" s="70"/>
      <c r="I150" s="70"/>
      <c r="J150" s="70"/>
      <c r="K150" s="70"/>
      <c r="L150" s="70"/>
      <c r="M150" s="2"/>
      <c r="N150" s="2"/>
      <c r="O150" s="2"/>
      <c r="P150" s="70"/>
      <c r="Q150" s="70"/>
    </row>
    <row r="151" spans="1:17">
      <c r="A151" s="70" t="s">
        <v>3165</v>
      </c>
      <c r="B151" s="70">
        <v>72793</v>
      </c>
      <c r="C151" s="2" t="s">
        <v>37</v>
      </c>
      <c r="D151" s="70" t="s">
        <v>169</v>
      </c>
      <c r="E151" s="70" t="s">
        <v>3171</v>
      </c>
      <c r="F151" s="8" t="str">
        <f>HYPERLINK("https://stat100.ameba.jp/tnk47/ratio20/illustrations/card/ill_72793_minomurarizaemon03.jpg", "■")</f>
        <v>■</v>
      </c>
      <c r="G151" s="70" t="s">
        <v>3170</v>
      </c>
      <c r="H151" s="70"/>
      <c r="I151" s="70"/>
      <c r="J151" s="70"/>
      <c r="K151" s="70"/>
      <c r="L151" s="70" t="s">
        <v>3193</v>
      </c>
      <c r="M151" s="70">
        <v>13</v>
      </c>
      <c r="N151" s="2">
        <v>47195</v>
      </c>
      <c r="O151" s="2">
        <v>50779</v>
      </c>
      <c r="P151" s="70" t="s">
        <v>3169</v>
      </c>
      <c r="Q151" s="70" t="s">
        <v>556</v>
      </c>
    </row>
    <row r="152" spans="1:17">
      <c r="A152" s="70" t="s">
        <v>3166</v>
      </c>
      <c r="B152" s="70">
        <v>73153</v>
      </c>
      <c r="C152" s="2" t="s">
        <v>41</v>
      </c>
      <c r="D152" s="70" t="s">
        <v>59</v>
      </c>
      <c r="E152" s="70" t="s">
        <v>3174</v>
      </c>
      <c r="F152" s="8" t="str">
        <f>HYPERLINK("https://stat100.ameba.jp/tnk47/ratio20/illustrations/card/ill_73153_sengokuhidehisa03.jpg", "■")</f>
        <v>■</v>
      </c>
      <c r="G152" s="70" t="s">
        <v>3175</v>
      </c>
      <c r="H152" s="70"/>
      <c r="I152" s="70"/>
      <c r="J152" s="70"/>
      <c r="K152" s="70"/>
      <c r="L152" s="70" t="s">
        <v>3187</v>
      </c>
      <c r="M152" s="70">
        <v>13</v>
      </c>
      <c r="N152" s="2">
        <v>71856</v>
      </c>
      <c r="O152" s="2">
        <v>77281</v>
      </c>
      <c r="P152" s="70" t="s">
        <v>3173</v>
      </c>
      <c r="Q152" s="70" t="s">
        <v>3172</v>
      </c>
    </row>
    <row r="153" spans="1:17">
      <c r="A153" s="70" t="s">
        <v>3167</v>
      </c>
      <c r="B153" s="70">
        <v>73293</v>
      </c>
      <c r="C153" s="2" t="s">
        <v>37</v>
      </c>
      <c r="D153" s="70" t="s">
        <v>6</v>
      </c>
      <c r="E153" s="70" t="s">
        <v>3179</v>
      </c>
      <c r="F153" s="8" t="str">
        <f>HYPERLINK("https://stat100.ameba.jp/tnk47/ratio20/illustrations/card/ill_73293_sukiyaki03.jpg", "■")</f>
        <v>■</v>
      </c>
      <c r="G153" s="70" t="s">
        <v>3178</v>
      </c>
      <c r="H153" s="70"/>
      <c r="I153" s="70"/>
      <c r="J153" s="70"/>
      <c r="K153" s="70"/>
      <c r="L153" s="70" t="s">
        <v>3186</v>
      </c>
      <c r="M153" s="70">
        <v>13</v>
      </c>
      <c r="N153" s="2">
        <v>61393</v>
      </c>
      <c r="O153" s="2">
        <v>57088</v>
      </c>
      <c r="P153" s="70" t="s">
        <v>3177</v>
      </c>
      <c r="Q153" s="70" t="s">
        <v>3176</v>
      </c>
    </row>
    <row r="154" spans="1:17">
      <c r="A154" s="2" t="s">
        <v>3168</v>
      </c>
      <c r="B154" s="70">
        <v>73383</v>
      </c>
      <c r="C154" s="2" t="s">
        <v>41</v>
      </c>
      <c r="D154" s="70" t="s">
        <v>119</v>
      </c>
      <c r="E154" s="70" t="s">
        <v>3183</v>
      </c>
      <c r="F154" s="8" t="str">
        <f>HYPERLINK("https://stat100.ameba.jp/tnk47/ratio20/illustrations/card/ill_73383_shigarakiyaki03.jpg", "■")</f>
        <v>■</v>
      </c>
      <c r="G154" s="70" t="s">
        <v>3182</v>
      </c>
      <c r="H154" s="70"/>
      <c r="I154" s="70"/>
      <c r="J154" s="70"/>
      <c r="K154" s="70"/>
      <c r="L154" s="70" t="s">
        <v>3184</v>
      </c>
      <c r="M154" s="70">
        <v>13</v>
      </c>
      <c r="N154" s="2">
        <v>59222</v>
      </c>
      <c r="O154" s="2">
        <v>55062</v>
      </c>
      <c r="P154" s="70" t="s">
        <v>3181</v>
      </c>
      <c r="Q154" s="70" t="s">
        <v>3180</v>
      </c>
    </row>
    <row r="155" spans="1:17" s="76" customFormat="1">
      <c r="B155" s="2"/>
      <c r="M155" s="2"/>
      <c r="O155" s="2"/>
    </row>
    <row r="156" spans="1:17" s="80" customFormat="1">
      <c r="B156" s="2"/>
      <c r="M156" s="2"/>
      <c r="O156" s="2"/>
    </row>
    <row r="157" spans="1:17" s="75" customFormat="1">
      <c r="A157" s="75" t="s">
        <v>3249</v>
      </c>
      <c r="C157" s="2"/>
      <c r="M157" s="2"/>
      <c r="N157" s="2"/>
      <c r="O157" s="2"/>
    </row>
    <row r="158" spans="1:17" s="75" customFormat="1">
      <c r="A158" s="75" t="s">
        <v>3250</v>
      </c>
      <c r="B158" s="75">
        <v>73603</v>
      </c>
      <c r="C158" s="2" t="s">
        <v>41</v>
      </c>
      <c r="D158" s="75" t="s">
        <v>67</v>
      </c>
      <c r="E158" s="75" t="s">
        <v>3254</v>
      </c>
      <c r="F158" s="8" t="str">
        <f>HYPERLINK("https://stat100.ameba.jp/tnk47/ratio20/illustrations/card/ill_73603_midorogaike03.jpg", "■")</f>
        <v>■</v>
      </c>
      <c r="G158" s="75" t="s">
        <v>3260</v>
      </c>
      <c r="L158" s="75" t="s">
        <v>1067</v>
      </c>
      <c r="M158" s="75">
        <v>13</v>
      </c>
      <c r="N158" s="2">
        <v>55062</v>
      </c>
      <c r="O158" s="2">
        <v>59222</v>
      </c>
      <c r="P158" s="75" t="s">
        <v>3259</v>
      </c>
      <c r="Q158" s="75" t="s">
        <v>3258</v>
      </c>
    </row>
    <row r="159" spans="1:17" s="75" customFormat="1">
      <c r="A159" s="75" t="s">
        <v>3251</v>
      </c>
      <c r="B159" s="75">
        <v>73963</v>
      </c>
      <c r="C159" s="2" t="s">
        <v>37</v>
      </c>
      <c r="D159" s="75" t="s">
        <v>74</v>
      </c>
      <c r="E159" s="75" t="s">
        <v>3255</v>
      </c>
      <c r="F159" s="8" t="str">
        <f>HYPERLINK("https://stat100.ameba.jp/tnk47/ratio20/illustrations/card/ill_73963_tanabatachokeshin03.jpg", "■")</f>
        <v>■</v>
      </c>
      <c r="G159" s="75" t="s">
        <v>3263</v>
      </c>
      <c r="L159" s="75" t="s">
        <v>3270</v>
      </c>
      <c r="M159" s="75">
        <v>13</v>
      </c>
      <c r="N159" s="2">
        <v>54164</v>
      </c>
      <c r="O159" s="2">
        <v>50371</v>
      </c>
      <c r="P159" s="75" t="s">
        <v>3262</v>
      </c>
      <c r="Q159" s="75" t="s">
        <v>3261</v>
      </c>
    </row>
    <row r="160" spans="1:17" s="75" customFormat="1">
      <c r="A160" s="75" t="s">
        <v>3252</v>
      </c>
      <c r="B160" s="75">
        <v>74103</v>
      </c>
      <c r="C160" s="2" t="s">
        <v>41</v>
      </c>
      <c r="D160" s="75" t="s">
        <v>209</v>
      </c>
      <c r="E160" s="75" t="s">
        <v>3256</v>
      </c>
      <c r="F160" s="8" t="str">
        <f>HYPERLINK("https://stat100.ameba.jp/tnk47/ratio20/illustrations/card/ill_74103_toidanookata03.jpg", "■")</f>
        <v>■</v>
      </c>
      <c r="G160" s="75" t="s">
        <v>3266</v>
      </c>
      <c r="L160" s="75" t="s">
        <v>3271</v>
      </c>
      <c r="M160" s="75">
        <v>13</v>
      </c>
      <c r="N160" s="2">
        <v>53724</v>
      </c>
      <c r="O160" s="2">
        <v>57778</v>
      </c>
      <c r="P160" s="75" t="s">
        <v>3265</v>
      </c>
      <c r="Q160" s="75" t="s">
        <v>3264</v>
      </c>
    </row>
    <row r="161" spans="1:17" s="75" customFormat="1">
      <c r="A161" s="2" t="s">
        <v>3253</v>
      </c>
      <c r="B161" s="75">
        <v>74183</v>
      </c>
      <c r="C161" s="2" t="s">
        <v>37</v>
      </c>
      <c r="D161" s="75" t="s">
        <v>44</v>
      </c>
      <c r="E161" s="75" t="s">
        <v>3257</v>
      </c>
      <c r="F161" s="8" t="str">
        <f>HYPERLINK("https://stat100.ameba.jp/tnk47/ratio20/illustrations/card/ill_74183_bimbogamitofukunokami03.jpg", "■")</f>
        <v>■</v>
      </c>
      <c r="G161" s="75" t="s">
        <v>3269</v>
      </c>
      <c r="L161" s="75" t="s">
        <v>3272</v>
      </c>
      <c r="M161" s="75">
        <v>13</v>
      </c>
      <c r="N161" s="2">
        <v>59328</v>
      </c>
      <c r="O161" s="2">
        <v>55062</v>
      </c>
      <c r="P161" s="75" t="s">
        <v>3268</v>
      </c>
      <c r="Q161" s="75" t="s">
        <v>3267</v>
      </c>
    </row>
    <row r="163" spans="1:17">
      <c r="A163" s="76" t="s">
        <v>3275</v>
      </c>
    </row>
    <row r="164" spans="1:17">
      <c r="A164" s="76" t="s">
        <v>3291</v>
      </c>
      <c r="B164" s="1">
        <v>74423</v>
      </c>
      <c r="C164" s="2" t="s">
        <v>37</v>
      </c>
      <c r="D164" s="76" t="s">
        <v>74</v>
      </c>
      <c r="E164" s="1" t="s">
        <v>3274</v>
      </c>
      <c r="F164" s="8" t="str">
        <f>HYPERLINK("https://stat100.ameba.jp/tnk47/ratio20/illustrations/card/ill_74423_kainanhoshi03.jpg", "■")</f>
        <v>■</v>
      </c>
      <c r="G164" s="1" t="s">
        <v>3278</v>
      </c>
      <c r="L164" s="1" t="s">
        <v>3421</v>
      </c>
      <c r="M164" s="76">
        <v>13</v>
      </c>
      <c r="N164" s="1">
        <v>54164</v>
      </c>
      <c r="O164" s="1">
        <v>50371</v>
      </c>
      <c r="P164" s="1" t="s">
        <v>3277</v>
      </c>
      <c r="Q164" s="1" t="s">
        <v>3276</v>
      </c>
    </row>
    <row r="165" spans="1:17">
      <c r="A165" s="2" t="s">
        <v>3292</v>
      </c>
      <c r="B165" s="1">
        <v>74703</v>
      </c>
      <c r="C165" s="2" t="s">
        <v>41</v>
      </c>
      <c r="D165" s="1" t="s">
        <v>123</v>
      </c>
      <c r="E165" s="1" t="s">
        <v>3282</v>
      </c>
      <c r="F165" s="8" t="str">
        <f>HYPERLINK("https://stat100.ameba.jp/tnk47/ratio20/illustrations/card/ill_74703_hyodotadashi03.jpg", "■")</f>
        <v>■</v>
      </c>
      <c r="G165" s="1" t="s">
        <v>3281</v>
      </c>
      <c r="L165" s="1" t="s">
        <v>3295</v>
      </c>
      <c r="M165" s="76">
        <v>13</v>
      </c>
      <c r="N165" s="1">
        <v>52713</v>
      </c>
      <c r="O165" s="1">
        <v>49033</v>
      </c>
      <c r="P165" s="1" t="s">
        <v>3280</v>
      </c>
      <c r="Q165" s="1" t="s">
        <v>3279</v>
      </c>
    </row>
    <row r="166" spans="1:17">
      <c r="A166" s="76" t="s">
        <v>3294</v>
      </c>
      <c r="B166" s="1">
        <v>74813</v>
      </c>
      <c r="C166" s="2" t="s">
        <v>37</v>
      </c>
      <c r="D166" s="1" t="s">
        <v>119</v>
      </c>
      <c r="E166" s="1" t="s">
        <v>3286</v>
      </c>
      <c r="F166" s="8" t="str">
        <f>HYPERLINK("https://stat100.ameba.jp/tnk47/ratio20/illustrations/card/ill_74813_ennichinambuhimemari03.jpg", "■")</f>
        <v>■</v>
      </c>
      <c r="G166" s="1" t="s">
        <v>3285</v>
      </c>
      <c r="L166" s="1" t="s">
        <v>3296</v>
      </c>
      <c r="M166" s="76">
        <v>13</v>
      </c>
      <c r="N166" s="1">
        <v>55062</v>
      </c>
      <c r="O166" s="1">
        <v>59222</v>
      </c>
      <c r="P166" s="1" t="s">
        <v>3284</v>
      </c>
      <c r="Q166" s="1" t="s">
        <v>3283</v>
      </c>
    </row>
    <row r="167" spans="1:17">
      <c r="A167" s="2" t="s">
        <v>3293</v>
      </c>
      <c r="B167" s="1">
        <v>74933</v>
      </c>
      <c r="C167" s="2" t="s">
        <v>41</v>
      </c>
      <c r="D167" s="1" t="s">
        <v>67</v>
      </c>
      <c r="E167" s="1" t="s">
        <v>3290</v>
      </c>
      <c r="F167" s="8" t="str">
        <f>HYPERLINK("https://stat100.ameba.jp/tnk47/ratio20/illustrations/card/ill_74933_amenonukadonomikoto03.jpg", "■")</f>
        <v>■</v>
      </c>
      <c r="G167" s="1" t="s">
        <v>3289</v>
      </c>
      <c r="L167" s="1" t="s">
        <v>3297</v>
      </c>
      <c r="M167" s="76">
        <v>13</v>
      </c>
      <c r="N167" s="1">
        <v>49296</v>
      </c>
      <c r="O167" s="1">
        <v>53025</v>
      </c>
      <c r="P167" s="1" t="s">
        <v>3288</v>
      </c>
      <c r="Q167" s="1" t="s">
        <v>3287</v>
      </c>
    </row>
    <row r="169" spans="1:17">
      <c r="A169" s="80" t="s">
        <v>3340</v>
      </c>
      <c r="B169" s="80"/>
      <c r="C169" s="80"/>
      <c r="D169" s="80"/>
      <c r="E169" s="80"/>
      <c r="F169" s="80"/>
      <c r="G169" s="80"/>
      <c r="H169" s="2"/>
      <c r="I169" s="2"/>
      <c r="J169" s="2"/>
      <c r="K169" s="2"/>
      <c r="L169" s="2"/>
      <c r="M169" s="80"/>
      <c r="N169" s="80"/>
      <c r="O169" s="80"/>
      <c r="P169" s="80"/>
      <c r="Q169" s="80"/>
    </row>
    <row r="170" spans="1:17">
      <c r="A170" s="80" t="s">
        <v>3375</v>
      </c>
      <c r="B170" s="80">
        <v>75223</v>
      </c>
      <c r="C170" s="2" t="s">
        <v>41</v>
      </c>
      <c r="D170" s="80" t="s">
        <v>44</v>
      </c>
      <c r="E170" s="80" t="s">
        <v>3347</v>
      </c>
      <c r="F170" s="8" t="str">
        <f>HYPERLINK("https://stat100.ameba.jp/tnk47/ratio20/illustrations/card/ill_75223_kumanojinjanokamimai03.jpg", "■")</f>
        <v>■</v>
      </c>
      <c r="G170" s="80" t="s">
        <v>3346</v>
      </c>
      <c r="H170" s="2"/>
      <c r="I170" s="2"/>
      <c r="J170" s="2"/>
      <c r="K170" s="2"/>
      <c r="L170" s="80" t="s">
        <v>3376</v>
      </c>
      <c r="M170" s="80">
        <v>13</v>
      </c>
      <c r="N170" s="80">
        <v>55062</v>
      </c>
      <c r="O170" s="80">
        <v>59328</v>
      </c>
      <c r="P170" s="80" t="s">
        <v>3345</v>
      </c>
      <c r="Q170" s="80" t="s">
        <v>3344</v>
      </c>
    </row>
    <row r="171" spans="1:17">
      <c r="A171" s="80" t="s">
        <v>3378</v>
      </c>
      <c r="B171" s="80">
        <v>75503</v>
      </c>
      <c r="C171" s="2" t="s">
        <v>41</v>
      </c>
      <c r="D171" s="80" t="s">
        <v>74</v>
      </c>
      <c r="E171" s="80" t="s">
        <v>3351</v>
      </c>
      <c r="F171" s="8" t="str">
        <f>HYPERLINK("https://stat100.ameba.jp/tnk47/ratio20/illustrations/card/ill_75503_aburaakago03.jpg", "■")</f>
        <v>■</v>
      </c>
      <c r="G171" s="80" t="s">
        <v>3350</v>
      </c>
      <c r="I171" s="2"/>
      <c r="J171" s="2"/>
      <c r="K171" s="2"/>
      <c r="L171" s="80" t="s">
        <v>3416</v>
      </c>
      <c r="M171" s="80">
        <v>13</v>
      </c>
      <c r="N171" s="80">
        <v>50371</v>
      </c>
      <c r="O171" s="80">
        <v>54164</v>
      </c>
      <c r="P171" s="80" t="s">
        <v>3349</v>
      </c>
      <c r="Q171" s="80" t="s">
        <v>3348</v>
      </c>
    </row>
    <row r="172" spans="1:17">
      <c r="A172" s="80" t="s">
        <v>3341</v>
      </c>
      <c r="B172" s="80">
        <v>75613</v>
      </c>
      <c r="C172" s="2" t="s">
        <v>37</v>
      </c>
      <c r="D172" s="80" t="s">
        <v>67</v>
      </c>
      <c r="E172" s="80" t="s">
        <v>3355</v>
      </c>
      <c r="F172" s="8" t="str">
        <f>HYPERLINK("https://stat100.ameba.jp/tnk47/ratio20/illustrations/card/ill_75613_kuebiko03.jpg", "■")</f>
        <v>■</v>
      </c>
      <c r="G172" s="80" t="s">
        <v>3354</v>
      </c>
      <c r="H172" s="2"/>
      <c r="I172" s="2"/>
      <c r="J172" s="2"/>
      <c r="K172" s="2"/>
      <c r="L172" s="80" t="s">
        <v>3417</v>
      </c>
      <c r="M172" s="80">
        <v>13</v>
      </c>
      <c r="N172" s="80">
        <v>53025</v>
      </c>
      <c r="O172" s="80">
        <v>49296</v>
      </c>
      <c r="P172" s="80" t="s">
        <v>3353</v>
      </c>
      <c r="Q172" s="80" t="s">
        <v>3352</v>
      </c>
    </row>
    <row r="173" spans="1:17">
      <c r="A173" s="2" t="s">
        <v>3342</v>
      </c>
      <c r="B173" s="80">
        <v>75733</v>
      </c>
      <c r="C173" s="80" t="s">
        <v>37</v>
      </c>
      <c r="D173" s="80" t="s">
        <v>59</v>
      </c>
      <c r="E173" s="80" t="s">
        <v>3359</v>
      </c>
      <c r="F173" s="8" t="str">
        <f>HYPERLINK("https://stat100.ameba.jp/tnk47/ratio20/illustrations/card/ill_75733_nakanotakeko03.jpg", "■")</f>
        <v>■</v>
      </c>
      <c r="G173" s="80" t="s">
        <v>3358</v>
      </c>
      <c r="H173" s="2"/>
      <c r="I173" s="2"/>
      <c r="J173" s="2"/>
      <c r="K173" s="2"/>
      <c r="L173" s="80" t="s">
        <v>3381</v>
      </c>
      <c r="M173" s="80">
        <v>13</v>
      </c>
      <c r="N173" s="80">
        <v>77281</v>
      </c>
      <c r="O173" s="80">
        <v>71856</v>
      </c>
      <c r="P173" s="80" t="s">
        <v>3357</v>
      </c>
      <c r="Q173" s="80" t="s">
        <v>3356</v>
      </c>
    </row>
    <row r="174" spans="1:17">
      <c r="A174" s="80"/>
      <c r="B174" s="80"/>
      <c r="C174" s="80"/>
      <c r="D174" s="80"/>
      <c r="E174" s="80"/>
      <c r="F174" s="80"/>
      <c r="G174" s="80"/>
      <c r="H174" s="2"/>
      <c r="I174" s="2"/>
      <c r="J174" s="2"/>
      <c r="K174" s="2"/>
      <c r="L174" s="2"/>
      <c r="M174" s="80"/>
      <c r="N174" s="80"/>
      <c r="O174" s="80"/>
      <c r="P174" s="80"/>
      <c r="Q174" s="80"/>
    </row>
    <row r="175" spans="1:17">
      <c r="A175" s="80" t="s">
        <v>3343</v>
      </c>
      <c r="B175" s="80"/>
      <c r="C175" s="80"/>
      <c r="D175" s="80"/>
      <c r="E175" s="80"/>
      <c r="F175" s="80"/>
      <c r="G175" s="80"/>
      <c r="H175" s="2"/>
      <c r="I175" s="2"/>
      <c r="J175" s="2"/>
      <c r="K175" s="2"/>
      <c r="L175" s="2"/>
      <c r="M175" s="80"/>
      <c r="N175" s="80"/>
      <c r="O175" s="80"/>
      <c r="P175" s="80"/>
      <c r="Q175" s="80"/>
    </row>
    <row r="176" spans="1:17">
      <c r="A176" s="80" t="s">
        <v>3377</v>
      </c>
      <c r="B176" s="80">
        <v>76133</v>
      </c>
      <c r="C176" s="2" t="s">
        <v>37</v>
      </c>
      <c r="D176" s="80" t="s">
        <v>123</v>
      </c>
      <c r="E176" s="80" t="s">
        <v>3363</v>
      </c>
      <c r="F176" s="8" t="str">
        <f>HYPERLINK("https://stat100.ameba.jp/tnk47/ratio20/illustrations/card/ill_76133_shinobinishinadaisuke03.jpg", "■")</f>
        <v>■</v>
      </c>
      <c r="G176" s="80" t="s">
        <v>3362</v>
      </c>
      <c r="H176" s="2"/>
      <c r="I176" s="2"/>
      <c r="J176" s="2"/>
      <c r="K176" s="2"/>
      <c r="L176" s="80" t="s">
        <v>3521</v>
      </c>
      <c r="M176" s="80">
        <v>13</v>
      </c>
      <c r="N176" s="80">
        <v>49033</v>
      </c>
      <c r="O176" s="80">
        <v>52713</v>
      </c>
      <c r="P176" s="80" t="s">
        <v>3361</v>
      </c>
      <c r="Q176" s="80" t="s">
        <v>3360</v>
      </c>
    </row>
    <row r="177" spans="1:17">
      <c r="A177" s="2" t="s">
        <v>3379</v>
      </c>
      <c r="B177" s="80">
        <v>76643</v>
      </c>
      <c r="C177" s="2" t="s">
        <v>41</v>
      </c>
      <c r="D177" s="80" t="s">
        <v>44</v>
      </c>
      <c r="E177" s="80" t="s">
        <v>3366</v>
      </c>
      <c r="F177" s="8" t="str">
        <f>HYPERLINK("https://stat100.ameba.jp/tnk47/ratio20/illustrations/card/ill_76643_funanyobo03.jpg", "■")</f>
        <v>■</v>
      </c>
      <c r="G177" s="80" t="s">
        <v>3365</v>
      </c>
      <c r="H177" s="2"/>
      <c r="I177" s="2"/>
      <c r="J177" s="2"/>
      <c r="K177" s="2"/>
      <c r="L177" s="80" t="s">
        <v>3519</v>
      </c>
      <c r="M177" s="80">
        <v>13</v>
      </c>
      <c r="N177" s="80">
        <v>59328</v>
      </c>
      <c r="O177" s="80">
        <v>55062</v>
      </c>
      <c r="P177" s="80" t="s">
        <v>3364</v>
      </c>
      <c r="Q177" s="80" t="s">
        <v>3267</v>
      </c>
    </row>
    <row r="178" spans="1:17">
      <c r="A178" s="80" t="s">
        <v>3380</v>
      </c>
      <c r="B178" s="80">
        <v>76523</v>
      </c>
      <c r="C178" s="2" t="s">
        <v>41</v>
      </c>
      <c r="D178" s="80" t="s">
        <v>119</v>
      </c>
      <c r="E178" s="80" t="s">
        <v>3370</v>
      </c>
      <c r="F178" s="8" t="str">
        <f>HYPERLINK("https://stat100.ameba.jp/tnk47/ratio20/illustrations/card/ill_76523_furawapakurashima03.jpg", "■")</f>
        <v>■</v>
      </c>
      <c r="G178" s="80" t="s">
        <v>3369</v>
      </c>
      <c r="H178" s="2"/>
      <c r="I178" s="2"/>
      <c r="J178" s="2"/>
      <c r="K178" s="2"/>
      <c r="L178" s="80" t="s">
        <v>3520</v>
      </c>
      <c r="M178" s="80">
        <v>13</v>
      </c>
      <c r="N178" s="80">
        <v>59222</v>
      </c>
      <c r="O178" s="80">
        <v>55062</v>
      </c>
      <c r="P178" s="80" t="s">
        <v>3368</v>
      </c>
      <c r="Q178" s="80" t="s">
        <v>3367</v>
      </c>
    </row>
    <row r="179" spans="1:17">
      <c r="A179" s="80" t="s">
        <v>3382</v>
      </c>
      <c r="B179" s="80">
        <v>76413</v>
      </c>
      <c r="C179" s="80" t="s">
        <v>37</v>
      </c>
      <c r="D179" s="80" t="s">
        <v>209</v>
      </c>
      <c r="E179" s="80" t="s">
        <v>3374</v>
      </c>
      <c r="F179" s="8" t="str">
        <f>HYPERLINK("https://stat100.ameba.jp/tnk47/ratio20/illustrations/card/ill_76413_yukemurioainokata03.jpg", "■")</f>
        <v>■</v>
      </c>
      <c r="G179" s="80" t="s">
        <v>3373</v>
      </c>
      <c r="H179" s="2"/>
      <c r="I179" s="2"/>
      <c r="J179" s="2"/>
      <c r="K179" s="2"/>
      <c r="L179" t="s">
        <v>3758</v>
      </c>
      <c r="M179" s="80">
        <v>13</v>
      </c>
      <c r="N179" s="80">
        <v>47195</v>
      </c>
      <c r="O179" s="80">
        <v>50779</v>
      </c>
      <c r="P179" s="80" t="s">
        <v>3372</v>
      </c>
      <c r="Q179" s="80" t="s">
        <v>3371</v>
      </c>
    </row>
    <row r="181" spans="1:17">
      <c r="A181" s="1" t="s">
        <v>3426</v>
      </c>
    </row>
    <row r="182" spans="1:17">
      <c r="A182" s="87" t="s">
        <v>3440</v>
      </c>
      <c r="B182" s="1">
        <v>77003</v>
      </c>
      <c r="C182" s="1" t="s">
        <v>95</v>
      </c>
      <c r="D182" s="1" t="s">
        <v>74</v>
      </c>
      <c r="E182" s="1" t="s">
        <v>3429</v>
      </c>
      <c r="F182" s="8" t="str">
        <f>HYPERLINK("https://stat100.ameba.jp/tnk47/ratio20/illustrations/card/ill_77003_seikimatsunurarihyon03.jpg", "■")</f>
        <v>■</v>
      </c>
      <c r="G182" s="1" t="s">
        <v>3428</v>
      </c>
      <c r="H182" s="89">
        <v>1</v>
      </c>
      <c r="L182" s="89" t="s">
        <v>3496</v>
      </c>
      <c r="M182" s="87">
        <v>13</v>
      </c>
      <c r="N182" s="1">
        <v>56677</v>
      </c>
      <c r="O182" s="1">
        <v>52709</v>
      </c>
      <c r="P182" s="1" t="s">
        <v>3427</v>
      </c>
      <c r="Q182" s="1" t="s">
        <v>3276</v>
      </c>
    </row>
    <row r="183" spans="1:17">
      <c r="A183" s="87" t="s">
        <v>3441</v>
      </c>
      <c r="B183" s="1">
        <v>77283</v>
      </c>
      <c r="C183" s="1" t="s">
        <v>37</v>
      </c>
      <c r="D183" s="1" t="s">
        <v>67</v>
      </c>
      <c r="E183" s="1" t="s">
        <v>3430</v>
      </c>
      <c r="F183" s="8" t="str">
        <f>HYPERLINK("https://stat100.ameba.jp/tnk47/ratio20/illustrations/card/ill_77283_chayamusumemurasame03.jpg", "■")</f>
        <v>■</v>
      </c>
      <c r="G183" s="1" t="s">
        <v>3432</v>
      </c>
      <c r="H183" s="92"/>
      <c r="L183" t="s">
        <v>3517</v>
      </c>
      <c r="M183" s="87">
        <v>13</v>
      </c>
      <c r="N183" s="1">
        <v>49296</v>
      </c>
      <c r="O183" s="1">
        <v>53025</v>
      </c>
      <c r="P183" s="1" t="s">
        <v>3431</v>
      </c>
      <c r="Q183" s="1" t="s">
        <v>3287</v>
      </c>
    </row>
    <row r="184" spans="1:17">
      <c r="A184" s="87" t="s">
        <v>3442</v>
      </c>
      <c r="B184" s="1">
        <v>77393</v>
      </c>
      <c r="C184" s="1" t="s">
        <v>37</v>
      </c>
      <c r="D184" s="1" t="s">
        <v>59</v>
      </c>
      <c r="E184" s="1" t="s">
        <v>3435</v>
      </c>
      <c r="F184" s="8" t="str">
        <f>HYPERLINK("https://stat100.ameba.jp/tnk47/ratio20/illustrations/card/ill_77393_yamagaruakiakaiteruko03.jpg", "■")</f>
        <v>■</v>
      </c>
      <c r="G184" s="1" t="s">
        <v>3434</v>
      </c>
      <c r="L184" s="89" t="s">
        <v>3518</v>
      </c>
      <c r="M184" s="87">
        <v>13</v>
      </c>
      <c r="N184" s="1">
        <v>71856</v>
      </c>
      <c r="O184" s="1">
        <v>77281</v>
      </c>
      <c r="P184" s="1" t="s">
        <v>3433</v>
      </c>
      <c r="Q184" s="1" t="s">
        <v>3172</v>
      </c>
    </row>
    <row r="185" spans="1:17">
      <c r="A185" s="2" t="s">
        <v>3443</v>
      </c>
      <c r="B185" s="1">
        <v>77473</v>
      </c>
      <c r="C185" s="1" t="s">
        <v>41</v>
      </c>
      <c r="D185" s="1" t="s">
        <v>6</v>
      </c>
      <c r="E185" s="1" t="s">
        <v>3439</v>
      </c>
      <c r="F185" s="8" t="str">
        <f>HYPERLINK("https://stat100.ameba.jp/tnk47/ratio20/illustrations/card/ill_77473_miyakonotawasetouchiremon03.jpg", "■")</f>
        <v>■</v>
      </c>
      <c r="G185" s="1" t="s">
        <v>3438</v>
      </c>
      <c r="H185" s="95"/>
      <c r="L185" s="97" t="s">
        <v>3661</v>
      </c>
      <c r="M185" s="87">
        <v>13</v>
      </c>
      <c r="N185" s="1">
        <v>57088</v>
      </c>
      <c r="O185" s="1">
        <v>61393</v>
      </c>
      <c r="P185" s="1" t="s">
        <v>3437</v>
      </c>
      <c r="Q185" s="1" t="s">
        <v>3436</v>
      </c>
    </row>
    <row r="187" spans="1:17">
      <c r="A187" s="89" t="s">
        <v>3477</v>
      </c>
    </row>
    <row r="188" spans="1:17">
      <c r="A188" s="89" t="s">
        <v>3492</v>
      </c>
      <c r="B188" s="1">
        <v>77793</v>
      </c>
      <c r="C188" s="1" t="s">
        <v>95</v>
      </c>
      <c r="D188" s="1" t="s">
        <v>59</v>
      </c>
      <c r="E188" s="1" t="s">
        <v>3480</v>
      </c>
      <c r="F188" s="8" t="str">
        <f>HYPERLINK("https://stat100.ameba.jp/tnk47/ratio20/illustrations/card/ill_77793_bonenkaiiinaomasa03.jpg", "■")</f>
        <v>■</v>
      </c>
      <c r="G188" s="1" t="s">
        <v>3479</v>
      </c>
      <c r="L188" s="89" t="s">
        <v>3497</v>
      </c>
      <c r="M188" s="89">
        <v>13</v>
      </c>
      <c r="N188" s="1">
        <v>80873</v>
      </c>
      <c r="O188" s="1">
        <v>75192</v>
      </c>
      <c r="P188" s="1" t="s">
        <v>3478</v>
      </c>
      <c r="Q188" s="1" t="s">
        <v>3356</v>
      </c>
    </row>
    <row r="189" spans="1:17">
      <c r="A189" s="89" t="s">
        <v>3493</v>
      </c>
      <c r="B189" s="1">
        <v>78153</v>
      </c>
      <c r="C189" s="1" t="s">
        <v>37</v>
      </c>
      <c r="D189" s="1" t="s">
        <v>169</v>
      </c>
      <c r="E189" s="1" t="s">
        <v>3483</v>
      </c>
      <c r="F189" s="8" t="str">
        <f>HYPERLINK("https://stat100.ameba.jp/tnk47/ratio20/illustrations/card/ill_78153_otomarijoshikaiichijomikako03.jpg", "■")</f>
        <v>■</v>
      </c>
      <c r="G189" s="1" t="s">
        <v>3482</v>
      </c>
      <c r="H189" s="90"/>
      <c r="L189" t="s">
        <v>3668</v>
      </c>
      <c r="M189" s="89">
        <v>13</v>
      </c>
      <c r="N189" s="1">
        <v>47195</v>
      </c>
      <c r="O189" s="1">
        <v>50779</v>
      </c>
      <c r="P189" s="1" t="s">
        <v>3481</v>
      </c>
      <c r="Q189" s="1" t="s">
        <v>556</v>
      </c>
    </row>
    <row r="190" spans="1:17">
      <c r="A190" s="89" t="s">
        <v>3494</v>
      </c>
      <c r="B190" s="1">
        <v>78253</v>
      </c>
      <c r="C190" s="1" t="s">
        <v>37</v>
      </c>
      <c r="D190" s="1" t="s">
        <v>123</v>
      </c>
      <c r="E190" s="1" t="s">
        <v>3487</v>
      </c>
      <c r="F190" s="8" t="str">
        <f>HYPERLINK("https://stat100.ameba.jp/tnk47/ratio20/illustrations/card/ill_78253_yukinotahasegawashigure03.jpg?202110-5-RELEASE-marathon-556xxxx", "■")</f>
        <v>■</v>
      </c>
      <c r="G190" s="1" t="s">
        <v>3486</v>
      </c>
      <c r="L190" s="89" t="s">
        <v>3665</v>
      </c>
      <c r="M190" s="89">
        <v>13</v>
      </c>
      <c r="N190" s="1">
        <v>52713</v>
      </c>
      <c r="O190" s="1">
        <v>49033</v>
      </c>
      <c r="P190" s="1" t="s">
        <v>3485</v>
      </c>
      <c r="Q190" s="1" t="s">
        <v>3484</v>
      </c>
    </row>
    <row r="191" spans="1:17">
      <c r="A191" s="2" t="s">
        <v>3495</v>
      </c>
      <c r="B191" s="1">
        <v>78333</v>
      </c>
      <c r="C191" s="1" t="s">
        <v>37</v>
      </c>
      <c r="D191" s="1" t="s">
        <v>74</v>
      </c>
      <c r="E191" s="1" t="s">
        <v>3491</v>
      </c>
      <c r="F191" s="8" t="str">
        <f>HYPERLINK("https://stat100.ameba.jp/tnk47/ratio20/illustrations/card/ill_78333_nemmatsuosojiaputoruyamupeuenyuku03.jpg?202110-5-RELEASE-marathon-556xxxx", "■")</f>
        <v>■</v>
      </c>
      <c r="G191" s="1" t="s">
        <v>3490</v>
      </c>
      <c r="K191" s="93"/>
      <c r="L191" s="89" t="s">
        <v>3666</v>
      </c>
      <c r="M191" s="89">
        <v>13</v>
      </c>
      <c r="N191" s="1">
        <v>50371</v>
      </c>
      <c r="O191" s="1">
        <v>54164</v>
      </c>
      <c r="P191" s="1" t="s">
        <v>3489</v>
      </c>
      <c r="Q191" s="1" t="s">
        <v>3488</v>
      </c>
    </row>
    <row r="193" spans="1:17" s="76" customFormat="1">
      <c r="B193" s="2"/>
      <c r="M193" s="2"/>
      <c r="O193" s="2"/>
    </row>
    <row r="194" spans="1:17" s="76" customFormat="1">
      <c r="A194" s="1" t="s">
        <v>795</v>
      </c>
      <c r="B194" s="2"/>
      <c r="M194" s="2"/>
      <c r="O194" s="2"/>
    </row>
    <row r="195" spans="1:17">
      <c r="A195" s="97" t="s">
        <v>3618</v>
      </c>
    </row>
    <row r="196" spans="1:17">
      <c r="A196" s="97" t="s">
        <v>3647</v>
      </c>
      <c r="B196" s="1">
        <v>78523</v>
      </c>
      <c r="C196" s="1" t="s">
        <v>95</v>
      </c>
      <c r="D196" s="1" t="s">
        <v>67</v>
      </c>
      <c r="E196" s="1" t="s">
        <v>3622</v>
      </c>
      <c r="F196" s="8" t="str">
        <f>HYPERLINK("https://stat100.ameba.jp/tnk47/ratio20/illustrations/card/ill_78523_shichifukujinwakaukanomenomikoto03.jpg", "■")</f>
        <v>■</v>
      </c>
      <c r="G196" s="1" t="s">
        <v>3621</v>
      </c>
      <c r="L196" s="97" t="s">
        <v>3659</v>
      </c>
      <c r="M196" s="97">
        <v>13</v>
      </c>
      <c r="N196" s="1">
        <v>53025</v>
      </c>
      <c r="O196" s="1">
        <v>49296</v>
      </c>
      <c r="P196" s="1" t="s">
        <v>3620</v>
      </c>
      <c r="Q196" s="1" t="s">
        <v>3619</v>
      </c>
    </row>
    <row r="197" spans="1:17">
      <c r="A197" s="97" t="s">
        <v>3648</v>
      </c>
      <c r="B197" s="1">
        <v>78883</v>
      </c>
      <c r="C197" s="1" t="s">
        <v>41</v>
      </c>
      <c r="D197" s="1" t="s">
        <v>44</v>
      </c>
      <c r="E197" s="1" t="s">
        <v>3626</v>
      </c>
      <c r="F197" s="8" t="str">
        <f>HYPERLINK("https://stat100.ameba.jp/tnk47/ratio20/illustrations/card/ill_78883_idoshimiminashihoichi03.jpg", "■")</f>
        <v>■</v>
      </c>
      <c r="G197" s="1" t="s">
        <v>3625</v>
      </c>
      <c r="L197" t="s">
        <v>3658</v>
      </c>
      <c r="M197" s="97">
        <v>13</v>
      </c>
      <c r="N197" s="1">
        <v>55062</v>
      </c>
      <c r="O197" s="1">
        <v>59328</v>
      </c>
      <c r="P197" s="1" t="s">
        <v>3624</v>
      </c>
      <c r="Q197" s="1" t="s">
        <v>3623</v>
      </c>
    </row>
    <row r="198" spans="1:17">
      <c r="A198" s="97" t="s">
        <v>3649</v>
      </c>
      <c r="B198" s="1">
        <v>78983</v>
      </c>
      <c r="C198" s="1" t="s">
        <v>41</v>
      </c>
      <c r="D198" s="1" t="s">
        <v>119</v>
      </c>
      <c r="E198" s="1" t="s">
        <v>3630</v>
      </c>
      <c r="F198" s="8" t="str">
        <f>HYPERLINK("https://stat100.ameba.jp/tnk47/ratio20/illustrations/card/ill_78983_uintasupotsurubi03.jpg", "■")</f>
        <v>■</v>
      </c>
      <c r="G198" s="1" t="s">
        <v>3629</v>
      </c>
      <c r="L198" t="s">
        <v>3656</v>
      </c>
      <c r="M198" s="97">
        <v>13</v>
      </c>
      <c r="N198" s="1">
        <v>55062</v>
      </c>
      <c r="O198" s="1">
        <v>59222</v>
      </c>
      <c r="P198" s="1" t="s">
        <v>3628</v>
      </c>
      <c r="Q198" s="1" t="s">
        <v>3627</v>
      </c>
    </row>
    <row r="199" spans="1:17" s="97" customFormat="1">
      <c r="A199" s="2" t="s">
        <v>3650</v>
      </c>
      <c r="B199" s="97">
        <v>79033</v>
      </c>
      <c r="C199" s="97" t="s">
        <v>37</v>
      </c>
      <c r="D199" s="97" t="s">
        <v>209</v>
      </c>
      <c r="E199" s="97" t="s">
        <v>3633</v>
      </c>
      <c r="F199" s="8" t="str">
        <f>HYPERLINK("https://stat100.ameba.jp/tnk47/ratio20/illustrations/card/ill_79033_shinnenongakukaiotaajuria03.jpg", "■")</f>
        <v>■</v>
      </c>
      <c r="G199" s="97" t="s">
        <v>3632</v>
      </c>
      <c r="L199" s="97" t="s">
        <v>3657</v>
      </c>
      <c r="M199" s="97">
        <v>13</v>
      </c>
      <c r="N199" s="97">
        <v>47195</v>
      </c>
      <c r="O199" s="97">
        <v>50779</v>
      </c>
      <c r="P199" s="97" t="s">
        <v>3631</v>
      </c>
      <c r="Q199" s="97" t="s">
        <v>3371</v>
      </c>
    </row>
    <row r="201" spans="1:17">
      <c r="A201" s="97" t="s">
        <v>3617</v>
      </c>
    </row>
    <row r="202" spans="1:17">
      <c r="A202" s="97" t="s">
        <v>3651</v>
      </c>
      <c r="B202" s="1">
        <v>79223</v>
      </c>
      <c r="C202" s="1" t="s">
        <v>95</v>
      </c>
      <c r="D202" s="1" t="s">
        <v>169</v>
      </c>
      <c r="E202" s="1" t="s">
        <v>3636</v>
      </c>
      <c r="F202" s="8" t="str">
        <f>HYPERLINK("https://stat100.ameba.jp/tnk47/ratio20/illustrations/card/ill_79223_shogikarakurigiemon03.jpg", "■")</f>
        <v>■</v>
      </c>
      <c r="G202" s="1" t="s">
        <v>3635</v>
      </c>
      <c r="L202" s="97" t="s">
        <v>3660</v>
      </c>
      <c r="M202" s="97">
        <v>13</v>
      </c>
      <c r="N202" s="1">
        <v>47195</v>
      </c>
      <c r="O202" s="1">
        <v>50779</v>
      </c>
      <c r="P202" s="1" t="s">
        <v>3634</v>
      </c>
      <c r="Q202" s="1" t="s">
        <v>556</v>
      </c>
    </row>
    <row r="203" spans="1:17">
      <c r="A203" s="97" t="s">
        <v>3652</v>
      </c>
      <c r="B203" s="1">
        <v>79533</v>
      </c>
      <c r="C203" s="1" t="s">
        <v>41</v>
      </c>
      <c r="D203" s="1" t="s">
        <v>123</v>
      </c>
      <c r="E203" s="1" t="s">
        <v>3639</v>
      </c>
      <c r="F203" s="8" t="str">
        <f>HYPERLINK("https://stat100.ameba.jp/tnk47/ratio20/illustrations/card/ill_79533_nabepateitakabaosamu03.jpg", "■")</f>
        <v>■</v>
      </c>
      <c r="G203" s="1" t="s">
        <v>3638</v>
      </c>
      <c r="L203" t="s">
        <v>3667</v>
      </c>
      <c r="M203" s="97">
        <v>13</v>
      </c>
      <c r="N203" s="1">
        <v>49033</v>
      </c>
      <c r="O203" s="1">
        <v>52713</v>
      </c>
      <c r="P203" s="1" t="s">
        <v>3637</v>
      </c>
      <c r="Q203" s="1" t="s">
        <v>3360</v>
      </c>
    </row>
    <row r="204" spans="1:17">
      <c r="A204" s="97" t="s">
        <v>3653</v>
      </c>
      <c r="B204" s="1">
        <v>79633</v>
      </c>
      <c r="C204" s="1" t="s">
        <v>37</v>
      </c>
      <c r="D204" s="1" t="s">
        <v>59</v>
      </c>
      <c r="E204" s="1" t="s">
        <v>3643</v>
      </c>
      <c r="F204" s="8" t="str">
        <f>HYPERLINK("https://stat100.ameba.jp/tnk47/ratio20/illustrations/card/ill_79633_hibikiwataruneiromatsuotaseko03.jpg", "■")</f>
        <v>■</v>
      </c>
      <c r="G204" s="1" t="s">
        <v>3642</v>
      </c>
      <c r="L204" s="97" t="s">
        <v>3663</v>
      </c>
      <c r="M204" s="97">
        <v>13</v>
      </c>
      <c r="N204" s="1">
        <v>77281</v>
      </c>
      <c r="O204" s="1">
        <v>71856</v>
      </c>
      <c r="P204" s="1" t="s">
        <v>3641</v>
      </c>
      <c r="Q204" s="1" t="s">
        <v>3640</v>
      </c>
    </row>
    <row r="205" spans="1:17">
      <c r="A205" s="2" t="s">
        <v>3654</v>
      </c>
      <c r="B205" s="1">
        <v>79683</v>
      </c>
      <c r="C205" s="1" t="s">
        <v>37</v>
      </c>
      <c r="D205" s="1" t="s">
        <v>67</v>
      </c>
      <c r="E205" s="1" t="s">
        <v>3646</v>
      </c>
      <c r="F205" s="8" t="str">
        <f>HYPERLINK("https://stat100.ameba.jp/tnk47/ratio20/illustrations/card/ill_79683_yukinosaitenshitompekamui03.jpg", "■")</f>
        <v>■</v>
      </c>
      <c r="G205" s="1" t="s">
        <v>3645</v>
      </c>
      <c r="L205" s="97" t="s">
        <v>3655</v>
      </c>
      <c r="M205" s="97">
        <v>13</v>
      </c>
      <c r="N205" s="1">
        <v>53025</v>
      </c>
      <c r="O205" s="1">
        <v>49296</v>
      </c>
      <c r="P205" s="1" t="s">
        <v>3644</v>
      </c>
      <c r="Q205" s="1" t="s">
        <v>3352</v>
      </c>
    </row>
    <row r="207" spans="1:17">
      <c r="A207" s="1" t="s">
        <v>3731</v>
      </c>
    </row>
    <row r="208" spans="1:17">
      <c r="A208" s="97" t="s">
        <v>3732</v>
      </c>
      <c r="B208" s="1">
        <v>79873</v>
      </c>
      <c r="C208" s="1" t="s">
        <v>95</v>
      </c>
      <c r="D208" s="1" t="s">
        <v>44</v>
      </c>
      <c r="E208" s="1" t="s">
        <v>3716</v>
      </c>
      <c r="F208" s="8" t="str">
        <f>HYPERLINK("https://stat100.ameba.jp/tnk47/ratio20/illustrations/card/ill_79873_kafunshuraihoshigamisama03.jpg", "■")</f>
        <v>■</v>
      </c>
      <c r="G208" s="1" t="s">
        <v>3717</v>
      </c>
      <c r="L208" s="97" t="s">
        <v>3736</v>
      </c>
      <c r="M208" s="97">
        <v>13</v>
      </c>
      <c r="N208" s="1">
        <v>49296</v>
      </c>
      <c r="O208" s="1">
        <v>53025</v>
      </c>
      <c r="P208" s="1" t="s">
        <v>3719</v>
      </c>
      <c r="Q208" s="1" t="s">
        <v>3718</v>
      </c>
    </row>
    <row r="209" spans="1:17">
      <c r="A209" s="97" t="s">
        <v>3733</v>
      </c>
      <c r="B209" s="1">
        <v>80183</v>
      </c>
      <c r="C209" s="1" t="s">
        <v>37</v>
      </c>
      <c r="D209" s="1" t="s">
        <v>119</v>
      </c>
      <c r="E209" s="1" t="s">
        <v>3723</v>
      </c>
      <c r="F209" s="8" t="str">
        <f>HYPERLINK("https://stat100.ameba.jp/tnk47/ratio20/illustrations/card/ill_80183_haruichibanharajukuroritachan03.jpg", "■")</f>
        <v>■</v>
      </c>
      <c r="G209" s="1" t="s">
        <v>3722</v>
      </c>
      <c r="L209" t="s">
        <v>3737</v>
      </c>
      <c r="M209" s="97">
        <v>13</v>
      </c>
      <c r="N209" s="1">
        <v>55062</v>
      </c>
      <c r="O209" s="1">
        <v>59222</v>
      </c>
      <c r="P209" s="1" t="s">
        <v>3721</v>
      </c>
      <c r="Q209" s="1" t="s">
        <v>3720</v>
      </c>
    </row>
    <row r="210" spans="1:17">
      <c r="A210" s="97" t="s">
        <v>3734</v>
      </c>
      <c r="B210" s="1">
        <v>80273</v>
      </c>
      <c r="C210" s="1" t="s">
        <v>41</v>
      </c>
      <c r="D210" s="1" t="s">
        <v>6</v>
      </c>
      <c r="E210" s="1" t="s">
        <v>3727</v>
      </c>
      <c r="F210" s="8" t="str">
        <f>HYPERLINK("https://stat100.ameba.jp/tnk47/ratio20/illustrations/card/ill_80273_howaitodetonkotsuramen03.jpg", "■")</f>
        <v>■</v>
      </c>
      <c r="G210" s="1" t="s">
        <v>3726</v>
      </c>
      <c r="L210" s="97" t="s">
        <v>3738</v>
      </c>
      <c r="M210" s="97">
        <v>13</v>
      </c>
      <c r="N210" s="1">
        <v>61393</v>
      </c>
      <c r="O210" s="1">
        <v>57088</v>
      </c>
      <c r="P210" s="1" t="s">
        <v>3725</v>
      </c>
      <c r="Q210" s="1" t="s">
        <v>3724</v>
      </c>
    </row>
    <row r="211" spans="1:17">
      <c r="A211" s="2" t="s">
        <v>3735</v>
      </c>
      <c r="B211" s="1">
        <v>80323</v>
      </c>
      <c r="C211" s="1" t="s">
        <v>37</v>
      </c>
      <c r="D211" s="1" t="s">
        <v>169</v>
      </c>
      <c r="E211" s="1" t="s">
        <v>3730</v>
      </c>
      <c r="F211" s="8" t="str">
        <f>HYPERLINK("https://stat100.ameba.jp/tnk47/ratio20/illustrations/card/ill_80323_seibugekitokugawayoshinobu03.jpg", "■")</f>
        <v>■</v>
      </c>
      <c r="G211" s="1" t="s">
        <v>3729</v>
      </c>
      <c r="L211" s="97" t="s">
        <v>3739</v>
      </c>
      <c r="M211" s="97">
        <v>13</v>
      </c>
      <c r="N211" s="1">
        <v>50779</v>
      </c>
      <c r="O211" s="1">
        <v>47195</v>
      </c>
      <c r="P211" s="1" t="s">
        <v>3728</v>
      </c>
      <c r="Q211" s="1" t="s">
        <v>131</v>
      </c>
    </row>
  </sheetData>
  <phoneticPr fontId="3"/>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09EF85-2879-4E42-98BE-6E9AACAD624A}">
  <dimension ref="A1:N76"/>
  <sheetViews>
    <sheetView zoomScale="55" zoomScaleNormal="55" workbookViewId="0">
      <pane ySplit="1" topLeftCell="A2" activePane="bottomLeft" state="frozen"/>
      <selection pane="bottomLeft"/>
    </sheetView>
  </sheetViews>
  <sheetFormatPr defaultColWidth="8.9140625" defaultRowHeight="18"/>
  <cols>
    <col min="1" max="1" width="6.33203125" style="2" customWidth="1"/>
    <col min="2" max="2" width="10.4140625" style="2" customWidth="1"/>
    <col min="3" max="3" width="5.6640625" style="2" customWidth="1"/>
    <col min="4" max="4" width="25.75" style="2" customWidth="1"/>
    <col min="5" max="5" width="3.9140625" style="24" customWidth="1"/>
    <col min="6" max="6" width="29.08203125" style="2" hidden="1" customWidth="1"/>
    <col min="7" max="8" width="20.75" style="2" hidden="1" customWidth="1"/>
    <col min="9" max="9" width="4.9140625" style="2" customWidth="1"/>
    <col min="10" max="11" width="7.33203125" style="2" customWidth="1"/>
    <col min="12" max="12" width="12.25" style="2" hidden="1" customWidth="1"/>
    <col min="13" max="13" width="65.75" style="2" customWidth="1"/>
    <col min="14" max="14" width="14.33203125" style="2" customWidth="1"/>
    <col min="15" max="16384" width="8.9140625" style="2"/>
  </cols>
  <sheetData>
    <row r="1" spans="1:14">
      <c r="A1" s="13" t="s">
        <v>583</v>
      </c>
      <c r="B1" s="13" t="s">
        <v>0</v>
      </c>
      <c r="C1" s="13" t="s">
        <v>1</v>
      </c>
      <c r="D1" s="13" t="s">
        <v>2</v>
      </c>
      <c r="E1" s="12" t="s">
        <v>2126</v>
      </c>
      <c r="F1" s="13" t="s">
        <v>637</v>
      </c>
      <c r="G1" s="13" t="s">
        <v>1122</v>
      </c>
      <c r="H1" s="13" t="s">
        <v>1040</v>
      </c>
      <c r="I1" s="12" t="s">
        <v>114</v>
      </c>
      <c r="J1" s="12" t="s">
        <v>657</v>
      </c>
      <c r="K1" s="12" t="s">
        <v>658</v>
      </c>
      <c r="L1" s="12" t="s">
        <v>4</v>
      </c>
      <c r="M1" s="12" t="s">
        <v>2803</v>
      </c>
      <c r="N1" s="12" t="s">
        <v>1951</v>
      </c>
    </row>
    <row r="2" spans="1:14">
      <c r="C2" s="24"/>
      <c r="D2" s="24"/>
      <c r="F2" s="24"/>
      <c r="G2" s="17"/>
      <c r="H2" s="17"/>
      <c r="L2" s="24"/>
      <c r="M2" s="24"/>
    </row>
    <row r="3" spans="1:14">
      <c r="A3" s="2" t="s">
        <v>2725</v>
      </c>
      <c r="C3" s="24"/>
      <c r="D3" s="24"/>
      <c r="F3" s="24"/>
      <c r="G3" s="17"/>
      <c r="H3" s="17"/>
      <c r="L3" s="24"/>
      <c r="M3" s="24"/>
    </row>
    <row r="4" spans="1:14">
      <c r="A4" s="2" t="s">
        <v>2726</v>
      </c>
      <c r="C4" s="24"/>
      <c r="D4" s="24"/>
      <c r="F4" s="24"/>
      <c r="G4" s="17"/>
      <c r="H4" s="17"/>
      <c r="L4" s="24"/>
      <c r="M4" s="24"/>
    </row>
    <row r="5" spans="1:14">
      <c r="C5" s="58"/>
      <c r="D5" s="58"/>
      <c r="E5" s="58"/>
      <c r="F5" s="58"/>
      <c r="G5" s="17"/>
      <c r="H5" s="17"/>
      <c r="L5" s="58"/>
      <c r="M5" s="58"/>
    </row>
    <row r="6" spans="1:14" s="24" customFormat="1">
      <c r="A6" s="24" t="s">
        <v>802</v>
      </c>
      <c r="B6" s="24" t="s">
        <v>148</v>
      </c>
      <c r="C6" s="24" t="s">
        <v>59</v>
      </c>
      <c r="D6" s="24" t="s">
        <v>1274</v>
      </c>
      <c r="E6" s="24" t="s">
        <v>802</v>
      </c>
      <c r="F6" s="24" t="s">
        <v>1982</v>
      </c>
      <c r="I6" s="24">
        <v>20</v>
      </c>
      <c r="J6" s="24">
        <v>71672</v>
      </c>
      <c r="K6" s="24">
        <v>118560</v>
      </c>
      <c r="L6" s="24" t="s">
        <v>1697</v>
      </c>
      <c r="M6" s="24" t="s">
        <v>2006</v>
      </c>
    </row>
    <row r="7" spans="1:14">
      <c r="A7" s="24">
        <v>75713</v>
      </c>
      <c r="B7" s="24" t="s">
        <v>148</v>
      </c>
      <c r="C7" s="24" t="s">
        <v>6</v>
      </c>
      <c r="D7" s="22" t="s">
        <v>2492</v>
      </c>
      <c r="E7" s="8" t="str">
        <f>HYPERLINK("https://stat100.ameba.jp/tnk47/ratio20/illustrations/card/ill_75713_chanchanyaki03.jpg", "■")</f>
        <v>■</v>
      </c>
      <c r="F7" s="1" t="s">
        <v>1310</v>
      </c>
      <c r="G7" s="1"/>
      <c r="H7" s="1"/>
      <c r="I7" s="24">
        <v>26</v>
      </c>
      <c r="J7" s="24">
        <v>73272</v>
      </c>
      <c r="K7" s="24">
        <v>130220</v>
      </c>
      <c r="L7" s="1" t="s">
        <v>1719</v>
      </c>
      <c r="M7" s="1" t="s">
        <v>1178</v>
      </c>
    </row>
    <row r="8" spans="1:14">
      <c r="A8" s="55">
        <v>17583</v>
      </c>
      <c r="B8" s="55" t="s">
        <v>148</v>
      </c>
      <c r="C8" s="55" t="s">
        <v>67</v>
      </c>
      <c r="D8" s="22" t="s">
        <v>2911</v>
      </c>
      <c r="E8" s="8" t="str">
        <f>HYPERLINK("https://stat100.ameba.jp/tnk47/ratio20/illustrations/card/ill_17583_karyobinga03.jpg", "■")</f>
        <v>■</v>
      </c>
      <c r="F8" s="55" t="s">
        <v>2912</v>
      </c>
      <c r="G8" s="55" t="s">
        <v>1081</v>
      </c>
      <c r="H8" s="55"/>
      <c r="I8" s="55" t="s">
        <v>802</v>
      </c>
      <c r="J8" s="55" t="s">
        <v>802</v>
      </c>
      <c r="K8" s="55" t="s">
        <v>802</v>
      </c>
      <c r="L8" s="55" t="s">
        <v>2913</v>
      </c>
      <c r="M8" s="18" t="s">
        <v>2914</v>
      </c>
    </row>
    <row r="9" spans="1:14">
      <c r="A9" s="24"/>
      <c r="B9" s="24"/>
      <c r="C9" s="24"/>
      <c r="D9" s="24"/>
      <c r="F9" s="24"/>
      <c r="G9" s="24"/>
      <c r="H9" s="24"/>
      <c r="I9" s="24"/>
      <c r="J9" s="24"/>
      <c r="K9" s="24"/>
      <c r="L9" s="24"/>
      <c r="M9" s="24"/>
    </row>
    <row r="10" spans="1:14">
      <c r="A10" s="24">
        <v>67733</v>
      </c>
      <c r="B10" s="24" t="s">
        <v>757</v>
      </c>
      <c r="C10" s="24" t="s">
        <v>191</v>
      </c>
      <c r="D10" s="22" t="s">
        <v>2647</v>
      </c>
      <c r="E10" s="8" t="str">
        <f>HYPERLINK("https://stat100.ameba.jp/tnk47/ratio20/illustrations/card/ill_67733_shukakusaiokamishojo03.jpg", "■")</f>
        <v>■</v>
      </c>
      <c r="F10" s="24" t="s">
        <v>1335</v>
      </c>
      <c r="G10" s="24" t="s">
        <v>1166</v>
      </c>
      <c r="H10" s="24" t="s">
        <v>2606</v>
      </c>
      <c r="I10" s="24" t="s">
        <v>802</v>
      </c>
      <c r="J10" s="24" t="s">
        <v>802</v>
      </c>
      <c r="K10" s="24" t="s">
        <v>802</v>
      </c>
      <c r="L10" s="24" t="s">
        <v>2078</v>
      </c>
      <c r="M10" s="18" t="s">
        <v>3120</v>
      </c>
    </row>
    <row r="11" spans="1:14">
      <c r="A11" s="24">
        <v>68853</v>
      </c>
      <c r="B11" s="24" t="s">
        <v>303</v>
      </c>
      <c r="C11" s="24" t="s">
        <v>169</v>
      </c>
      <c r="D11" s="22" t="s">
        <v>2505</v>
      </c>
      <c r="E11" s="8" t="str">
        <f>HYPERLINK("https://stat100.ameba.jp/tnk47/ratio20/illustrations/card/ill_68853_karutateneiin03.jpg", "■")</f>
        <v>■</v>
      </c>
      <c r="F11" s="24" t="s">
        <v>1350</v>
      </c>
      <c r="G11" s="24"/>
      <c r="H11" s="24"/>
      <c r="I11" s="24">
        <v>24</v>
      </c>
      <c r="J11" s="24">
        <v>87128</v>
      </c>
      <c r="K11" s="24">
        <v>93746</v>
      </c>
      <c r="L11" s="24" t="s">
        <v>1745</v>
      </c>
      <c r="M11" s="24" t="s">
        <v>2018</v>
      </c>
    </row>
    <row r="12" spans="1:14">
      <c r="A12" s="24">
        <v>41843</v>
      </c>
      <c r="B12" s="24" t="s">
        <v>757</v>
      </c>
      <c r="C12" s="24" t="s">
        <v>149</v>
      </c>
      <c r="D12" s="24" t="s">
        <v>1351</v>
      </c>
      <c r="E12" s="8" t="str">
        <f>HYPERLINK("https://stat100.ameba.jp/tnk47/ratio20/illustrations/card/ill_41843_ammitsuchan03.jpg", "■")</f>
        <v>■</v>
      </c>
      <c r="F12" s="24" t="s">
        <v>1351</v>
      </c>
      <c r="G12" s="24" t="s">
        <v>1072</v>
      </c>
      <c r="H12" s="24" t="s">
        <v>2606</v>
      </c>
      <c r="I12" s="24" t="s">
        <v>802</v>
      </c>
      <c r="J12" s="24" t="s">
        <v>802</v>
      </c>
      <c r="K12" s="24" t="s">
        <v>802</v>
      </c>
      <c r="L12" s="24" t="s">
        <v>2757</v>
      </c>
      <c r="M12" s="18" t="s">
        <v>2758</v>
      </c>
    </row>
    <row r="13" spans="1:14">
      <c r="A13" s="24">
        <v>63323</v>
      </c>
      <c r="B13" s="24" t="s">
        <v>757</v>
      </c>
      <c r="C13" s="24" t="s">
        <v>67</v>
      </c>
      <c r="D13" s="24" t="s">
        <v>1353</v>
      </c>
      <c r="E13" s="8" t="str">
        <f>HYPERLINK("https://stat100.ameba.jp/tnk47/ratio20/illustrations/card/ill_63323_ajisaikushinadahime03.jpg", "■")</f>
        <v>■</v>
      </c>
      <c r="F13" s="24" t="s">
        <v>2431</v>
      </c>
      <c r="G13" s="24"/>
      <c r="H13" s="24"/>
      <c r="I13" s="24">
        <v>25</v>
      </c>
      <c r="J13" s="24">
        <v>94802</v>
      </c>
      <c r="K13" s="24">
        <v>101971</v>
      </c>
      <c r="L13" s="24" t="s">
        <v>1747</v>
      </c>
      <c r="M13" s="24" t="s">
        <v>1748</v>
      </c>
    </row>
    <row r="14" spans="1:14">
      <c r="A14" s="24">
        <v>40223</v>
      </c>
      <c r="B14" s="24" t="s">
        <v>757</v>
      </c>
      <c r="C14" s="24" t="s">
        <v>26</v>
      </c>
      <c r="D14" s="24" t="s">
        <v>1359</v>
      </c>
      <c r="E14" s="8" t="str">
        <f>HYPERLINK("https://stat100.ameba.jp/tnk47/ratio20/illustrations/card/ill_40223_umibirakikasuganotsubone03.jpg", "■")</f>
        <v>■</v>
      </c>
      <c r="F14" s="24" t="s">
        <v>1360</v>
      </c>
      <c r="G14" s="24" t="s">
        <v>1072</v>
      </c>
      <c r="H14" s="24" t="s">
        <v>2606</v>
      </c>
      <c r="I14" s="24" t="s">
        <v>802</v>
      </c>
      <c r="J14" s="24" t="s">
        <v>802</v>
      </c>
      <c r="K14" s="24" t="s">
        <v>802</v>
      </c>
      <c r="L14" s="24" t="s">
        <v>2759</v>
      </c>
      <c r="M14" s="18" t="s">
        <v>3121</v>
      </c>
    </row>
    <row r="15" spans="1:14">
      <c r="A15" s="24"/>
      <c r="B15" s="24"/>
      <c r="C15" s="24"/>
      <c r="D15" s="24"/>
      <c r="F15" s="24"/>
      <c r="G15" s="24"/>
      <c r="H15" s="24"/>
      <c r="I15" s="24"/>
      <c r="J15" s="24"/>
      <c r="K15" s="24"/>
      <c r="L15" s="24"/>
      <c r="M15" s="24"/>
    </row>
    <row r="16" spans="1:14">
      <c r="A16" s="55">
        <v>12903</v>
      </c>
      <c r="B16" s="55" t="s">
        <v>306</v>
      </c>
      <c r="C16" s="55" t="s">
        <v>96</v>
      </c>
      <c r="D16" s="55" t="s">
        <v>2916</v>
      </c>
      <c r="E16" s="8" t="str">
        <f>HYPERLINK("https://stat100.ameba.jp/tnk47/ratio20/illustrations/card/ill_12903_tomoegozen03.jpg", "■")</f>
        <v>■</v>
      </c>
      <c r="F16" s="55" t="s">
        <v>2917</v>
      </c>
      <c r="G16" s="55"/>
      <c r="H16" s="55"/>
      <c r="I16" s="55" t="s">
        <v>802</v>
      </c>
      <c r="J16" s="55" t="s">
        <v>802</v>
      </c>
      <c r="K16" s="55" t="s">
        <v>802</v>
      </c>
      <c r="L16" s="55" t="s">
        <v>802</v>
      </c>
      <c r="M16" s="55" t="s">
        <v>802</v>
      </c>
    </row>
    <row r="17" spans="1:14">
      <c r="A17" s="6">
        <v>60803</v>
      </c>
      <c r="B17" s="24" t="s">
        <v>306</v>
      </c>
      <c r="C17" s="24" t="s">
        <v>74</v>
      </c>
      <c r="D17" s="26" t="s">
        <v>2438</v>
      </c>
      <c r="E17" s="8" t="str">
        <f>HYPERLINK("https://stat100.ameba.jp/tnk47/ratio20/illustrations/card/ill_60803_intonkonohatengu03.jpg", "■")</f>
        <v>■</v>
      </c>
      <c r="F17" s="24" t="s">
        <v>2440</v>
      </c>
      <c r="G17" s="24"/>
      <c r="H17" s="24"/>
      <c r="I17" s="24">
        <v>26</v>
      </c>
      <c r="J17" s="24">
        <v>90220</v>
      </c>
      <c r="K17" s="24">
        <v>84058</v>
      </c>
      <c r="L17" s="24" t="s">
        <v>2439</v>
      </c>
      <c r="M17" s="24" t="s">
        <v>3122</v>
      </c>
    </row>
    <row r="18" spans="1:14">
      <c r="A18" s="24">
        <v>41613</v>
      </c>
      <c r="B18" s="24" t="s">
        <v>758</v>
      </c>
      <c r="C18" s="24" t="s">
        <v>51</v>
      </c>
      <c r="D18" s="24" t="s">
        <v>1376</v>
      </c>
      <c r="E18" s="8" t="str">
        <f>HYPERLINK("https://stat100.ameba.jp/tnk47/ratio20/illustrations/card/ill_41613_baresukukubiwakomorichan03.jpg", "■")</f>
        <v>■</v>
      </c>
      <c r="F18" s="24" t="s">
        <v>1377</v>
      </c>
      <c r="G18" s="24" t="s">
        <v>1072</v>
      </c>
      <c r="H18" s="24" t="s">
        <v>2606</v>
      </c>
      <c r="I18" s="24">
        <v>12</v>
      </c>
      <c r="J18" s="24">
        <v>46252</v>
      </c>
      <c r="K18" s="24">
        <v>43003</v>
      </c>
      <c r="L18" s="24" t="s">
        <v>2441</v>
      </c>
      <c r="M18" s="24" t="s">
        <v>2442</v>
      </c>
    </row>
    <row r="19" spans="1:14">
      <c r="A19" s="24">
        <v>51763</v>
      </c>
      <c r="B19" s="24" t="s">
        <v>2450</v>
      </c>
      <c r="C19" s="24" t="s">
        <v>1233</v>
      </c>
      <c r="D19" s="24" t="s">
        <v>2449</v>
      </c>
      <c r="E19" s="8" t="str">
        <f>HYPERLINK("https://stat100.ameba.jp/tnk47/ratio20/illustrations/card/ill_51763_kawaasobimizuhanome03.jpg", "■")</f>
        <v>■</v>
      </c>
      <c r="F19" s="24" t="s">
        <v>2451</v>
      </c>
      <c r="G19" s="24"/>
      <c r="H19" s="24"/>
      <c r="I19" s="24">
        <v>22</v>
      </c>
      <c r="J19" s="24">
        <v>78838</v>
      </c>
      <c r="K19" s="24">
        <v>84796</v>
      </c>
      <c r="L19" s="24" t="s">
        <v>2452</v>
      </c>
      <c r="M19" s="24" t="s">
        <v>2453</v>
      </c>
    </row>
    <row r="20" spans="1:14">
      <c r="A20" s="24">
        <v>70523</v>
      </c>
      <c r="B20" s="24" t="s">
        <v>2450</v>
      </c>
      <c r="C20" s="24" t="s">
        <v>123</v>
      </c>
      <c r="D20" s="26" t="s">
        <v>2456</v>
      </c>
      <c r="E20" s="8" t="str">
        <f>HYPERLINK("https://stat100.ameba.jp/tnk47/ratio20/illustrations/card/ill_70523_shitsunaipurumochizukichiyome03.jpg", "■")</f>
        <v>■</v>
      </c>
      <c r="F20" s="24" t="s">
        <v>2457</v>
      </c>
      <c r="G20" s="24"/>
      <c r="H20" s="24"/>
      <c r="I20" s="24">
        <v>25</v>
      </c>
      <c r="J20" s="24">
        <v>94295</v>
      </c>
      <c r="K20" s="24">
        <v>101373</v>
      </c>
      <c r="L20" s="24" t="s">
        <v>2458</v>
      </c>
      <c r="M20" s="24" t="s">
        <v>3123</v>
      </c>
    </row>
    <row r="21" spans="1:14">
      <c r="A21" s="24">
        <v>69073</v>
      </c>
      <c r="B21" s="24" t="s">
        <v>306</v>
      </c>
      <c r="C21" s="24" t="s">
        <v>1250</v>
      </c>
      <c r="D21" s="24" t="s">
        <v>2516</v>
      </c>
      <c r="E21" s="8" t="str">
        <f>HYPERLINK("https://stat100.ameba.jp/tnk47/ratio20/illustrations/card/ill_69073_uintasupotsuhishidashunso03.jpg", "■")</f>
        <v>■</v>
      </c>
      <c r="F21" s="24" t="s">
        <v>2465</v>
      </c>
      <c r="G21" s="24" t="s">
        <v>1072</v>
      </c>
      <c r="H21" s="24" t="s">
        <v>2606</v>
      </c>
      <c r="I21" s="24">
        <v>21</v>
      </c>
      <c r="J21" s="24">
        <v>82027</v>
      </c>
      <c r="K21" s="24">
        <v>76237</v>
      </c>
      <c r="L21" s="24" t="s">
        <v>2466</v>
      </c>
      <c r="M21" s="24" t="s">
        <v>2467</v>
      </c>
    </row>
    <row r="22" spans="1:14">
      <c r="A22" s="24"/>
      <c r="B22" s="24"/>
      <c r="C22" s="24"/>
      <c r="D22" s="24"/>
      <c r="F22" s="24"/>
      <c r="G22" s="24"/>
      <c r="H22" s="24"/>
      <c r="I22" s="24"/>
      <c r="J22" s="24"/>
      <c r="K22" s="24"/>
      <c r="L22" s="24"/>
      <c r="M22" s="24"/>
    </row>
    <row r="23" spans="1:14">
      <c r="A23" s="24">
        <v>59863</v>
      </c>
      <c r="B23" s="24" t="s">
        <v>379</v>
      </c>
      <c r="C23" s="24" t="s">
        <v>1696</v>
      </c>
      <c r="D23" s="26" t="s">
        <v>2473</v>
      </c>
      <c r="E23" s="8" t="str">
        <f>HYPERLINK("https://stat100.ameba.jp/tnk47/ratio20/illustrations/card/ill_59863_yoseiichimokuren03.jpg", "■")</f>
        <v>■</v>
      </c>
      <c r="F23" s="24" t="s">
        <v>2474</v>
      </c>
      <c r="G23" s="24"/>
      <c r="H23" s="24"/>
      <c r="I23" s="24">
        <v>25</v>
      </c>
      <c r="J23" s="24">
        <v>104162</v>
      </c>
      <c r="K23" s="24">
        <v>96871</v>
      </c>
      <c r="L23" s="24" t="s">
        <v>2475</v>
      </c>
      <c r="M23" s="24" t="s">
        <v>2476</v>
      </c>
    </row>
    <row r="24" spans="1:14">
      <c r="A24" s="55">
        <v>22483</v>
      </c>
      <c r="B24" s="55" t="s">
        <v>379</v>
      </c>
      <c r="C24" s="55" t="s">
        <v>51</v>
      </c>
      <c r="D24" s="55" t="s">
        <v>2918</v>
      </c>
      <c r="E24" s="8" t="str">
        <f>HYPERLINK("https://stat100.ameba.jp/tnk47/ratio20/illustrations/card/ill_22483_gozannokuribidaimonji03.jpg", "■")</f>
        <v>■</v>
      </c>
      <c r="F24" s="2" t="s">
        <v>2919</v>
      </c>
      <c r="G24" s="55"/>
      <c r="H24" s="55"/>
      <c r="I24" s="55" t="s">
        <v>802</v>
      </c>
      <c r="J24" s="55" t="s">
        <v>802</v>
      </c>
      <c r="K24" s="55" t="s">
        <v>802</v>
      </c>
      <c r="L24" s="55" t="s">
        <v>802</v>
      </c>
      <c r="M24" s="55" t="s">
        <v>802</v>
      </c>
    </row>
    <row r="25" spans="1:14">
      <c r="A25" s="24">
        <v>46063</v>
      </c>
      <c r="B25" s="24" t="s">
        <v>379</v>
      </c>
      <c r="C25" s="24" t="s">
        <v>174</v>
      </c>
      <c r="D25" s="26" t="s">
        <v>2484</v>
      </c>
      <c r="E25" s="8" t="str">
        <f>HYPERLINK("https://stat100.ameba.jp/tnk47/ratio20/illustrations/card/ill_46063_kongorikishizo03.jpg", "■")</f>
        <v>■</v>
      </c>
      <c r="F25" s="24" t="s">
        <v>2485</v>
      </c>
      <c r="G25" s="24"/>
      <c r="H25" s="24"/>
      <c r="I25" s="24">
        <v>26</v>
      </c>
      <c r="J25" s="24">
        <v>94120</v>
      </c>
      <c r="K25" s="24">
        <v>67600</v>
      </c>
      <c r="L25" s="24" t="s">
        <v>1780</v>
      </c>
      <c r="M25" s="24" t="s">
        <v>1781</v>
      </c>
    </row>
    <row r="26" spans="1:14">
      <c r="A26" s="24">
        <v>69943</v>
      </c>
      <c r="B26" s="24" t="s">
        <v>379</v>
      </c>
      <c r="C26" s="24" t="s">
        <v>123</v>
      </c>
      <c r="D26" s="22" t="s">
        <v>2486</v>
      </c>
      <c r="E26" s="8" t="str">
        <f>HYPERLINK("https://stat100.ameba.jp/tnk47/ratio20/illustrations/card/ill_69943_hanzaiopakabaro03.jpg", "■")</f>
        <v>■</v>
      </c>
      <c r="F26" s="24" t="s">
        <v>1406</v>
      </c>
      <c r="G26" s="24"/>
      <c r="H26" s="24"/>
      <c r="I26" s="24">
        <v>26</v>
      </c>
      <c r="J26" s="24">
        <v>125392</v>
      </c>
      <c r="K26" s="24">
        <v>70556</v>
      </c>
      <c r="L26" s="24" t="s">
        <v>1782</v>
      </c>
      <c r="M26" s="24" t="s">
        <v>3124</v>
      </c>
    </row>
    <row r="27" spans="1:14">
      <c r="A27" s="24"/>
      <c r="B27" s="24"/>
      <c r="C27" s="24"/>
      <c r="D27" s="24"/>
      <c r="F27" s="24"/>
      <c r="G27" s="24"/>
      <c r="H27" s="24"/>
      <c r="I27" s="24"/>
      <c r="J27" s="24"/>
      <c r="K27" s="24"/>
      <c r="L27" s="24"/>
      <c r="M27" s="24"/>
      <c r="N27" s="24"/>
    </row>
    <row r="28" spans="1:14">
      <c r="A28" s="24">
        <v>16313</v>
      </c>
      <c r="B28" s="24" t="s">
        <v>168</v>
      </c>
      <c r="C28" s="24" t="s">
        <v>96</v>
      </c>
      <c r="D28" s="22" t="s">
        <v>3010</v>
      </c>
      <c r="E28" s="8" t="str">
        <f>HYPERLINK("https://stat100.ameba.jp/tnk47/ratio20/illustrations/card/ill_16313_sasakikojirou03.jpg", "■")</f>
        <v>■</v>
      </c>
      <c r="F28" s="24" t="s">
        <v>1407</v>
      </c>
      <c r="G28" s="24" t="s">
        <v>1166</v>
      </c>
      <c r="H28" s="24"/>
      <c r="I28" s="24" t="s">
        <v>802</v>
      </c>
      <c r="J28" s="24" t="s">
        <v>802</v>
      </c>
      <c r="K28" s="24" t="s">
        <v>802</v>
      </c>
      <c r="L28" s="24" t="s">
        <v>1783</v>
      </c>
      <c r="M28" s="14" t="s">
        <v>2099</v>
      </c>
    </row>
    <row r="29" spans="1:14">
      <c r="A29" s="24">
        <v>55663</v>
      </c>
      <c r="B29" s="24" t="s">
        <v>168</v>
      </c>
      <c r="C29" s="24" t="s">
        <v>191</v>
      </c>
      <c r="D29" s="22" t="s">
        <v>2528</v>
      </c>
      <c r="E29" s="8" t="str">
        <f>HYPERLINK("https://stat100.ameba.jp/tnk47/ratio20/illustrations/card/ill_55663_moryo03.jpg", "■")</f>
        <v>■</v>
      </c>
      <c r="F29" s="24" t="s">
        <v>1439</v>
      </c>
      <c r="G29" s="24" t="s">
        <v>1166</v>
      </c>
      <c r="H29" s="24"/>
      <c r="I29" s="24">
        <v>22</v>
      </c>
      <c r="J29" s="24">
        <v>68622</v>
      </c>
      <c r="K29" s="24">
        <v>95452</v>
      </c>
      <c r="L29" s="24" t="s">
        <v>1811</v>
      </c>
      <c r="M29" s="24" t="s">
        <v>2031</v>
      </c>
    </row>
    <row r="30" spans="1:14">
      <c r="A30" s="24">
        <v>64193</v>
      </c>
      <c r="B30" s="24" t="s">
        <v>313</v>
      </c>
      <c r="C30" s="24" t="s">
        <v>26</v>
      </c>
      <c r="D30" s="22" t="s">
        <v>2545</v>
      </c>
      <c r="E30" s="8" t="str">
        <f>HYPERLINK("https://stat100.ameba.jp/tnk47/ratio20/illustrations/card/ill_64193_meikokoizumiyakumo03.jpg", "■")</f>
        <v>■</v>
      </c>
      <c r="F30" s="24" t="s">
        <v>1950</v>
      </c>
      <c r="G30" s="24"/>
      <c r="H30" s="24"/>
      <c r="I30" s="24">
        <v>26</v>
      </c>
      <c r="J30" s="24">
        <v>105426</v>
      </c>
      <c r="K30" s="24">
        <v>98066</v>
      </c>
      <c r="L30" s="24" t="s">
        <v>1842</v>
      </c>
      <c r="M30" s="24" t="s">
        <v>1843</v>
      </c>
    </row>
    <row r="31" spans="1:14">
      <c r="A31" s="24"/>
      <c r="B31" s="24"/>
      <c r="C31" s="24"/>
      <c r="D31" s="24"/>
      <c r="F31" s="24"/>
      <c r="G31" s="24"/>
      <c r="H31" s="24"/>
      <c r="I31" s="24"/>
      <c r="J31" s="24"/>
      <c r="K31" s="24"/>
      <c r="L31" s="24"/>
      <c r="M31" s="24"/>
    </row>
    <row r="32" spans="1:14">
      <c r="A32" s="24">
        <v>61143</v>
      </c>
      <c r="B32" s="24" t="s">
        <v>1161</v>
      </c>
      <c r="C32" s="24" t="s">
        <v>149</v>
      </c>
      <c r="D32" s="24" t="s">
        <v>1496</v>
      </c>
      <c r="E32" s="8" t="str">
        <f>HYPERLINK("https://stat100.ameba.jp/tnk47/ratio20/illustrations/card/ill_61143_kakaochan03.jpg", "■")</f>
        <v>■</v>
      </c>
      <c r="F32" s="24" t="s">
        <v>1497</v>
      </c>
      <c r="G32" s="24" t="s">
        <v>1131</v>
      </c>
      <c r="H32" s="24" t="s">
        <v>2606</v>
      </c>
      <c r="I32" s="24" t="s">
        <v>802</v>
      </c>
      <c r="J32" s="24" t="s">
        <v>802</v>
      </c>
      <c r="K32" s="24" t="s">
        <v>802</v>
      </c>
      <c r="L32" s="24" t="s">
        <v>2760</v>
      </c>
      <c r="M32" s="18" t="s">
        <v>3125</v>
      </c>
    </row>
    <row r="33" spans="1:13">
      <c r="A33" s="24"/>
      <c r="B33" s="24"/>
      <c r="C33" s="24"/>
      <c r="D33" s="24"/>
      <c r="F33" s="24"/>
      <c r="G33" s="24"/>
      <c r="H33" s="24"/>
      <c r="I33" s="24"/>
      <c r="J33" s="24"/>
      <c r="K33" s="24"/>
      <c r="L33" s="24"/>
      <c r="M33" s="24"/>
    </row>
    <row r="34" spans="1:13">
      <c r="A34" s="24">
        <v>54823</v>
      </c>
      <c r="B34" s="24" t="s">
        <v>37</v>
      </c>
      <c r="C34" s="24" t="s">
        <v>96</v>
      </c>
      <c r="D34" s="24" t="s">
        <v>1506</v>
      </c>
      <c r="E34" s="8" t="str">
        <f>HYPERLINK("https://stat100.ameba.jp/tnk47/ratio20/illustrations/card/ill_54823_itoittosai03.jpg", "■")</f>
        <v>■</v>
      </c>
      <c r="F34" s="24" t="s">
        <v>1507</v>
      </c>
      <c r="G34" s="24" t="s">
        <v>1166</v>
      </c>
      <c r="H34" s="24" t="s">
        <v>2606</v>
      </c>
      <c r="I34" s="24" t="s">
        <v>802</v>
      </c>
      <c r="J34" s="24" t="s">
        <v>802</v>
      </c>
      <c r="K34" s="24" t="s">
        <v>802</v>
      </c>
      <c r="L34" s="24" t="s">
        <v>2761</v>
      </c>
      <c r="M34" s="18" t="s">
        <v>2762</v>
      </c>
    </row>
    <row r="35" spans="1:13">
      <c r="A35" s="24">
        <v>70373</v>
      </c>
      <c r="B35" s="24" t="s">
        <v>1219</v>
      </c>
      <c r="C35" s="24" t="s">
        <v>59</v>
      </c>
      <c r="D35" s="22" t="s">
        <v>2574</v>
      </c>
      <c r="E35" s="8" t="str">
        <f>HYPERLINK("https://stat100.ameba.jp/tnk47/ratio20/illustrations/card/ill_70373_amanoyasukage03.jpg", "■")</f>
        <v>■</v>
      </c>
      <c r="F35" s="24" t="s">
        <v>2575</v>
      </c>
      <c r="G35" s="24"/>
      <c r="H35" s="24"/>
      <c r="I35" s="6">
        <v>25</v>
      </c>
      <c r="J35" s="24">
        <v>129140</v>
      </c>
      <c r="K35" s="24">
        <v>138891</v>
      </c>
      <c r="L35" s="24" t="s">
        <v>2576</v>
      </c>
      <c r="M35" s="24" t="s">
        <v>3126</v>
      </c>
    </row>
    <row r="36" spans="1:13">
      <c r="A36" s="24">
        <v>42683</v>
      </c>
      <c r="B36" s="24" t="s">
        <v>37</v>
      </c>
      <c r="C36" s="24" t="s">
        <v>44</v>
      </c>
      <c r="D36" s="24" t="s">
        <v>1521</v>
      </c>
      <c r="E36" s="8" t="str">
        <f>HYPERLINK("https://stat100.ameba.jp/tnk47/ratio20/illustrations/card/ill_42683_manjuhime03.jpg", "■")</f>
        <v>■</v>
      </c>
      <c r="F36" s="24" t="s">
        <v>1522</v>
      </c>
      <c r="G36" s="24" t="s">
        <v>1131</v>
      </c>
      <c r="H36" s="24" t="s">
        <v>2606</v>
      </c>
      <c r="I36" s="24" t="s">
        <v>802</v>
      </c>
      <c r="J36" s="24" t="s">
        <v>802</v>
      </c>
      <c r="K36" s="24" t="s">
        <v>802</v>
      </c>
      <c r="L36" s="24" t="s">
        <v>2764</v>
      </c>
      <c r="M36" s="18" t="s">
        <v>3127</v>
      </c>
    </row>
    <row r="37" spans="1:13">
      <c r="A37" s="24">
        <v>48233</v>
      </c>
      <c r="B37" s="24" t="s">
        <v>37</v>
      </c>
      <c r="C37" s="24" t="s">
        <v>44</v>
      </c>
      <c r="D37" s="24" t="s">
        <v>1519</v>
      </c>
      <c r="E37" s="8" t="str">
        <f>HYPERLINK("https://stat100.ameba.jp/tnk47/ratio20/illustrations/card/ill_48233_bakumatsukinntarou03.jpg", "■")</f>
        <v>■</v>
      </c>
      <c r="F37" s="24" t="s">
        <v>1520</v>
      </c>
      <c r="G37" s="24" t="s">
        <v>1302</v>
      </c>
      <c r="H37" s="24" t="s">
        <v>2606</v>
      </c>
      <c r="I37" s="24" t="s">
        <v>802</v>
      </c>
      <c r="J37" s="24" t="s">
        <v>802</v>
      </c>
      <c r="K37" s="24" t="s">
        <v>802</v>
      </c>
      <c r="L37" s="24" t="s">
        <v>2763</v>
      </c>
      <c r="M37" s="18" t="s">
        <v>2580</v>
      </c>
    </row>
    <row r="38" spans="1:13">
      <c r="A38" s="24">
        <v>67923</v>
      </c>
      <c r="B38" s="24" t="s">
        <v>37</v>
      </c>
      <c r="C38" s="24" t="s">
        <v>44</v>
      </c>
      <c r="D38" s="24" t="s">
        <v>1524</v>
      </c>
      <c r="E38" s="8" t="str">
        <f>HYPERLINK("https://stat100.ameba.jp/tnk47/ratio20/illustrations/card/ill_67923_akairosokutoningy03.jpg", "■")</f>
        <v>■</v>
      </c>
      <c r="F38" s="24" t="s">
        <v>2767</v>
      </c>
      <c r="G38" s="24" t="s">
        <v>1131</v>
      </c>
      <c r="H38" s="24" t="s">
        <v>2606</v>
      </c>
      <c r="I38" s="24" t="s">
        <v>802</v>
      </c>
      <c r="J38" s="24" t="s">
        <v>802</v>
      </c>
      <c r="K38" s="24" t="s">
        <v>802</v>
      </c>
      <c r="L38" s="24" t="s">
        <v>2765</v>
      </c>
      <c r="M38" s="18" t="s">
        <v>3128</v>
      </c>
    </row>
    <row r="39" spans="1:13">
      <c r="A39" s="55">
        <v>27903</v>
      </c>
      <c r="B39" s="55" t="s">
        <v>10</v>
      </c>
      <c r="C39" s="55" t="s">
        <v>1696</v>
      </c>
      <c r="D39" s="55" t="s">
        <v>2920</v>
      </c>
      <c r="E39" s="8" t="str">
        <f>HYPERLINK("https://stat100.ameba.jp/tnk47/ratio20/illustrations/card/ill_27903_nenekokappa03.jpg", "■")</f>
        <v>■</v>
      </c>
      <c r="F39" s="55" t="s">
        <v>2921</v>
      </c>
      <c r="G39" s="55"/>
      <c r="H39" s="55"/>
      <c r="I39" s="55" t="s">
        <v>802</v>
      </c>
      <c r="J39" s="55" t="s">
        <v>802</v>
      </c>
      <c r="K39" s="55" t="s">
        <v>802</v>
      </c>
      <c r="L39" s="55" t="s">
        <v>802</v>
      </c>
      <c r="M39" s="55" t="s">
        <v>802</v>
      </c>
    </row>
    <row r="40" spans="1:13">
      <c r="A40" s="24">
        <v>30603</v>
      </c>
      <c r="B40" s="24" t="s">
        <v>10</v>
      </c>
      <c r="C40" s="24" t="s">
        <v>1696</v>
      </c>
      <c r="D40" s="24" t="s">
        <v>2594</v>
      </c>
      <c r="E40" s="8" t="str">
        <f>HYPERLINK("https://stat100.ameba.jp/tnk47/ratio20/illustrations/card/ill_30603_haroinnekogami03.jpg", "■")</f>
        <v>■</v>
      </c>
      <c r="F40" s="24" t="s">
        <v>2595</v>
      </c>
      <c r="G40" s="24"/>
      <c r="H40" s="24"/>
      <c r="I40" s="24">
        <v>21</v>
      </c>
      <c r="J40" s="24">
        <v>80942</v>
      </c>
      <c r="K40" s="24">
        <v>75254</v>
      </c>
      <c r="L40" s="24" t="s">
        <v>2596</v>
      </c>
      <c r="M40" s="24" t="s">
        <v>2597</v>
      </c>
    </row>
    <row r="41" spans="1:13">
      <c r="A41" s="24">
        <v>58323</v>
      </c>
      <c r="B41" s="24" t="s">
        <v>37</v>
      </c>
      <c r="C41" s="24" t="s">
        <v>191</v>
      </c>
      <c r="D41" s="24" t="s">
        <v>1535</v>
      </c>
      <c r="E41" s="8" t="str">
        <f>HYPERLINK("https://stat100.ameba.jp/tnk47/ratio20/illustrations/card/ill_58323_kurokamikiri03.jpg", "■")</f>
        <v>■</v>
      </c>
      <c r="F41" s="24" t="s">
        <v>1536</v>
      </c>
      <c r="G41" s="24"/>
      <c r="H41" s="24" t="s">
        <v>2813</v>
      </c>
      <c r="I41" s="24" t="s">
        <v>802</v>
      </c>
      <c r="J41" s="24" t="s">
        <v>802</v>
      </c>
      <c r="K41" s="24" t="s">
        <v>802</v>
      </c>
      <c r="L41" s="24" t="s">
        <v>2766</v>
      </c>
      <c r="M41" s="18" t="s">
        <v>3129</v>
      </c>
    </row>
    <row r="42" spans="1:13">
      <c r="A42" s="24">
        <v>68693</v>
      </c>
      <c r="B42" s="24" t="s">
        <v>10</v>
      </c>
      <c r="C42" s="24" t="s">
        <v>74</v>
      </c>
      <c r="D42" s="22" t="s">
        <v>2616</v>
      </c>
      <c r="E42" s="8" t="str">
        <f>HYPERLINK("https://stat100.ameba.jp/tnk47/ratio20/illustrations/card/ill_68693_mayoiga03.jpg", "■")</f>
        <v>■</v>
      </c>
      <c r="F42" s="24" t="s">
        <v>2618</v>
      </c>
      <c r="G42" s="24"/>
      <c r="H42" s="24"/>
      <c r="I42" s="24">
        <v>25</v>
      </c>
      <c r="J42" s="24">
        <v>132144</v>
      </c>
      <c r="K42" s="24">
        <v>95703</v>
      </c>
      <c r="L42" s="24" t="s">
        <v>2617</v>
      </c>
      <c r="M42" s="24" t="s">
        <v>3130</v>
      </c>
    </row>
    <row r="43" spans="1:13">
      <c r="A43" s="24">
        <v>43133</v>
      </c>
      <c r="B43" s="24" t="s">
        <v>10</v>
      </c>
      <c r="C43" s="24" t="s">
        <v>51</v>
      </c>
      <c r="D43" s="24" t="s">
        <v>1542</v>
      </c>
      <c r="E43" s="8" t="str">
        <f>HYPERLINK("https://stat100.ameba.jp/tnk47/ratio20/illustrations/card/ill_43133_suiren03.jpg", "■")</f>
        <v>■</v>
      </c>
      <c r="F43" s="24" t="s">
        <v>1543</v>
      </c>
      <c r="G43" s="24" t="s">
        <v>1166</v>
      </c>
      <c r="H43" s="24" t="s">
        <v>2606</v>
      </c>
      <c r="I43" s="24" t="s">
        <v>802</v>
      </c>
      <c r="J43" s="24" t="s">
        <v>802</v>
      </c>
      <c r="K43" s="24" t="s">
        <v>802</v>
      </c>
      <c r="L43" s="24" t="s">
        <v>2768</v>
      </c>
      <c r="M43" s="18" t="s">
        <v>3131</v>
      </c>
    </row>
    <row r="44" spans="1:13">
      <c r="A44" s="24">
        <v>58033</v>
      </c>
      <c r="B44" s="24" t="s">
        <v>37</v>
      </c>
      <c r="C44" s="24" t="s">
        <v>87</v>
      </c>
      <c r="D44" s="24" t="s">
        <v>1555</v>
      </c>
      <c r="E44" s="8" t="str">
        <f>HYPERLINK("https://stat100.ameba.jp/tnk47/ratio20/illustrations/card/ill_58033_ryukishikitaharasatoko03.jpg", "■")</f>
        <v>■</v>
      </c>
      <c r="F44" s="24" t="s">
        <v>1556</v>
      </c>
      <c r="G44" s="24" t="s">
        <v>1072</v>
      </c>
      <c r="H44" s="24" t="s">
        <v>2606</v>
      </c>
      <c r="I44" s="24">
        <v>18</v>
      </c>
      <c r="J44" s="24">
        <v>64504</v>
      </c>
      <c r="K44" s="24">
        <v>69378</v>
      </c>
      <c r="L44" s="24" t="s">
        <v>1875</v>
      </c>
      <c r="M44" s="24" t="s">
        <v>2043</v>
      </c>
    </row>
    <row r="45" spans="1:13">
      <c r="A45" s="24">
        <v>62033</v>
      </c>
      <c r="B45" s="24" t="s">
        <v>37</v>
      </c>
      <c r="C45" s="24" t="s">
        <v>87</v>
      </c>
      <c r="D45" s="24" t="s">
        <v>1553</v>
      </c>
      <c r="E45" s="8" t="str">
        <f>HYPERLINK("https://stat100.ameba.jp/tnk47/ratio20/illustrations/card/ill_62033_sasamorigisuke03.jpg", "■")</f>
        <v>■</v>
      </c>
      <c r="F45" s="24" t="s">
        <v>1554</v>
      </c>
      <c r="G45" s="24"/>
      <c r="H45" s="24" t="s">
        <v>2814</v>
      </c>
      <c r="I45" s="24" t="s">
        <v>802</v>
      </c>
      <c r="J45" s="24" t="s">
        <v>802</v>
      </c>
      <c r="K45" s="24" t="s">
        <v>802</v>
      </c>
      <c r="L45" s="24" t="s">
        <v>2771</v>
      </c>
      <c r="M45" s="18" t="s">
        <v>3132</v>
      </c>
    </row>
    <row r="46" spans="1:13">
      <c r="A46" s="24">
        <v>64863</v>
      </c>
      <c r="B46" s="24" t="s">
        <v>37</v>
      </c>
      <c r="C46" s="24" t="s">
        <v>87</v>
      </c>
      <c r="D46" s="24" t="s">
        <v>1552</v>
      </c>
      <c r="E46" s="8" t="str">
        <f>HYPERLINK("https://stat100.ameba.jp/tnk47/ratio20/illustrations/card/ill_64863_tokugawayorisada03.jpg", "■")</f>
        <v>■</v>
      </c>
      <c r="F46" s="24" t="s">
        <v>2770</v>
      </c>
      <c r="G46" s="24" t="s">
        <v>1131</v>
      </c>
      <c r="H46" s="24" t="s">
        <v>2606</v>
      </c>
      <c r="I46" s="24" t="s">
        <v>802</v>
      </c>
      <c r="J46" s="24" t="s">
        <v>802</v>
      </c>
      <c r="K46" s="24" t="s">
        <v>802</v>
      </c>
      <c r="L46" s="24" t="s">
        <v>2769</v>
      </c>
      <c r="M46" s="18" t="s">
        <v>1963</v>
      </c>
    </row>
    <row r="47" spans="1:13">
      <c r="A47" s="24">
        <v>36343</v>
      </c>
      <c r="B47" s="24" t="s">
        <v>37</v>
      </c>
      <c r="C47" s="24" t="s">
        <v>6</v>
      </c>
      <c r="D47" s="24" t="s">
        <v>1558</v>
      </c>
      <c r="E47" s="8" t="str">
        <f>HYPERLINK("https://stat100.ameba.jp/tnk47/ratio20/illustrations/card/ill_36343_chozame03.jpg", "■")</f>
        <v>■</v>
      </c>
      <c r="F47" s="24" t="s">
        <v>1559</v>
      </c>
      <c r="G47" s="24" t="s">
        <v>1199</v>
      </c>
      <c r="H47" s="24" t="s">
        <v>2606</v>
      </c>
      <c r="I47" s="24" t="s">
        <v>802</v>
      </c>
      <c r="J47" s="24" t="s">
        <v>802</v>
      </c>
      <c r="K47" s="24" t="s">
        <v>802</v>
      </c>
      <c r="L47" s="24" t="s">
        <v>2772</v>
      </c>
      <c r="M47" s="18" t="s">
        <v>3133</v>
      </c>
    </row>
    <row r="48" spans="1:13">
      <c r="A48" s="24" t="s">
        <v>802</v>
      </c>
      <c r="B48" s="24" t="s">
        <v>37</v>
      </c>
      <c r="C48" s="24" t="s">
        <v>6</v>
      </c>
      <c r="D48" s="24" t="s">
        <v>1560</v>
      </c>
      <c r="E48" s="24" t="s">
        <v>802</v>
      </c>
      <c r="F48" s="24" t="s">
        <v>1560</v>
      </c>
      <c r="G48" s="24"/>
      <c r="H48" s="24"/>
      <c r="I48" s="24">
        <v>18</v>
      </c>
      <c r="J48" s="24">
        <v>56144</v>
      </c>
      <c r="K48" s="24">
        <v>78098</v>
      </c>
      <c r="L48" s="24" t="s">
        <v>1877</v>
      </c>
      <c r="M48" s="24" t="s">
        <v>2044</v>
      </c>
    </row>
    <row r="49" spans="1:13">
      <c r="A49" s="24">
        <v>61323</v>
      </c>
      <c r="B49" s="24" t="s">
        <v>37</v>
      </c>
      <c r="C49" s="24" t="s">
        <v>6</v>
      </c>
      <c r="D49" s="24" t="s">
        <v>1565</v>
      </c>
      <c r="E49" s="8" t="str">
        <f>HYPERLINK("https://stat100.ameba.jp/tnk47/ratio20/illustrations/card/ill_61323_tempurachan03.jpg", "■")</f>
        <v>■</v>
      </c>
      <c r="F49" s="24" t="s">
        <v>1566</v>
      </c>
      <c r="G49" s="24"/>
      <c r="H49" s="24" t="s">
        <v>2813</v>
      </c>
      <c r="I49" s="24" t="s">
        <v>802</v>
      </c>
      <c r="J49" s="24" t="s">
        <v>802</v>
      </c>
      <c r="K49" s="24" t="s">
        <v>802</v>
      </c>
      <c r="L49" s="24" t="s">
        <v>2773</v>
      </c>
      <c r="M49" s="18" t="s">
        <v>1833</v>
      </c>
    </row>
    <row r="50" spans="1:13">
      <c r="A50" s="24">
        <v>49053</v>
      </c>
      <c r="B50" s="24" t="s">
        <v>10</v>
      </c>
      <c r="C50" s="24" t="s">
        <v>67</v>
      </c>
      <c r="D50" s="24" t="s">
        <v>1570</v>
      </c>
      <c r="E50" s="8" t="str">
        <f>HYPERLINK("https://stat100.ameba.jp/tnk47/ratio20/illustrations/card/ill_49053_ryorammyoombenzaiten03.jpg", "■")</f>
        <v>■</v>
      </c>
      <c r="F50" s="24" t="s">
        <v>1571</v>
      </c>
      <c r="G50" s="24" t="s">
        <v>1481</v>
      </c>
      <c r="H50" s="24" t="s">
        <v>2606</v>
      </c>
      <c r="I50" s="24" t="s">
        <v>802</v>
      </c>
      <c r="J50" s="24" t="s">
        <v>802</v>
      </c>
      <c r="K50" s="24" t="s">
        <v>802</v>
      </c>
      <c r="L50" s="24" t="s">
        <v>2774</v>
      </c>
      <c r="M50" s="18" t="s">
        <v>3134</v>
      </c>
    </row>
    <row r="51" spans="1:13">
      <c r="A51" s="24">
        <v>60153</v>
      </c>
      <c r="B51" s="24" t="s">
        <v>10</v>
      </c>
      <c r="C51" s="24" t="s">
        <v>67</v>
      </c>
      <c r="D51" s="24" t="s">
        <v>1574</v>
      </c>
      <c r="E51" s="8" t="str">
        <f>HYPERLINK("https://stat100.ameba.jp/tnk47/ratio20/illustrations/card/ill_60153_omiwatari03.jpg", "■")</f>
        <v>■</v>
      </c>
      <c r="F51" s="24" t="s">
        <v>2776</v>
      </c>
      <c r="G51" s="24" t="s">
        <v>1131</v>
      </c>
      <c r="H51" s="24" t="s">
        <v>2606</v>
      </c>
      <c r="I51" s="24" t="s">
        <v>802</v>
      </c>
      <c r="J51" s="24" t="s">
        <v>802</v>
      </c>
      <c r="K51" s="24" t="s">
        <v>802</v>
      </c>
      <c r="L51" s="24" t="s">
        <v>2775</v>
      </c>
      <c r="M51" s="18" t="s">
        <v>3135</v>
      </c>
    </row>
    <row r="52" spans="1:13">
      <c r="A52" s="24">
        <v>60353</v>
      </c>
      <c r="B52" s="24" t="s">
        <v>10</v>
      </c>
      <c r="C52" s="24" t="s">
        <v>123</v>
      </c>
      <c r="D52" s="24" t="s">
        <v>1585</v>
      </c>
      <c r="E52" s="8" t="str">
        <f>HYPERLINK("https://stat100.ameba.jp/tnk47/ratio20/illustrations/card/ill_60353_tanakadateaikitsu03.jpg", "■")</f>
        <v>■</v>
      </c>
      <c r="F52" s="24" t="s">
        <v>2779</v>
      </c>
      <c r="G52" s="24" t="s">
        <v>1166</v>
      </c>
      <c r="H52" s="24" t="s">
        <v>2606</v>
      </c>
      <c r="I52" s="24" t="s">
        <v>802</v>
      </c>
      <c r="J52" s="24" t="s">
        <v>802</v>
      </c>
      <c r="K52" s="24" t="s">
        <v>802</v>
      </c>
      <c r="L52" s="24" t="s">
        <v>2778</v>
      </c>
      <c r="M52" s="18" t="s">
        <v>3136</v>
      </c>
    </row>
    <row r="53" spans="1:13">
      <c r="A53" s="24">
        <v>66333</v>
      </c>
      <c r="B53" s="24" t="s">
        <v>10</v>
      </c>
      <c r="C53" s="24" t="s">
        <v>123</v>
      </c>
      <c r="D53" s="24" t="s">
        <v>1583</v>
      </c>
      <c r="E53" s="8" t="str">
        <f>HYPERLINK("https://stat100.ameba.jp/tnk47/ratio20/illustrations/card/ill_66333_sakamotomutsuko03.jpg", "■")</f>
        <v>■</v>
      </c>
      <c r="F53" s="24" t="s">
        <v>1584</v>
      </c>
      <c r="G53" s="24"/>
      <c r="H53" s="24" t="s">
        <v>2813</v>
      </c>
      <c r="I53" s="24" t="s">
        <v>802</v>
      </c>
      <c r="J53" s="24" t="s">
        <v>802</v>
      </c>
      <c r="K53" s="24" t="s">
        <v>802</v>
      </c>
      <c r="L53" s="24" t="s">
        <v>2777</v>
      </c>
      <c r="M53" s="18" t="s">
        <v>3137</v>
      </c>
    </row>
    <row r="55" spans="1:13">
      <c r="A55" s="24">
        <v>50313</v>
      </c>
      <c r="B55" s="24" t="s">
        <v>41</v>
      </c>
      <c r="C55" s="24" t="s">
        <v>96</v>
      </c>
      <c r="D55" s="1" t="s">
        <v>1589</v>
      </c>
      <c r="E55" s="8" t="str">
        <f>HYPERLINK("https://stat100.ameba.jp/tnk47/ratio20/illustrations/card/ill_50313_ashikagayoshinori03.jpg", "■")</f>
        <v>■</v>
      </c>
      <c r="F55" s="1" t="s">
        <v>1590</v>
      </c>
      <c r="G55" s="1" t="s">
        <v>1084</v>
      </c>
      <c r="H55" s="1" t="s">
        <v>2657</v>
      </c>
      <c r="I55" s="25" t="s">
        <v>802</v>
      </c>
      <c r="J55" s="25" t="s">
        <v>802</v>
      </c>
      <c r="K55" s="25" t="s">
        <v>802</v>
      </c>
      <c r="L55" s="1" t="s">
        <v>2780</v>
      </c>
      <c r="M55" s="18" t="s">
        <v>2781</v>
      </c>
    </row>
    <row r="56" spans="1:13">
      <c r="A56" s="24">
        <v>52723</v>
      </c>
      <c r="B56" s="24" t="s">
        <v>14</v>
      </c>
      <c r="C56" s="24" t="s">
        <v>17</v>
      </c>
      <c r="D56" s="1" t="s">
        <v>1597</v>
      </c>
      <c r="E56" s="8" t="str">
        <f>HYPERLINK("https://stat100.ameba.jp/tnk47/ratio20/illustrations/card/ill_52723_sekkikyogokumaria03.jpg", "■")</f>
        <v>■</v>
      </c>
      <c r="F56" s="1" t="s">
        <v>1598</v>
      </c>
      <c r="G56" s="1" t="s">
        <v>1131</v>
      </c>
      <c r="H56" s="25" t="s">
        <v>2657</v>
      </c>
      <c r="I56" s="25" t="s">
        <v>802</v>
      </c>
      <c r="J56" s="25" t="s">
        <v>802</v>
      </c>
      <c r="K56" s="25" t="s">
        <v>802</v>
      </c>
      <c r="L56" s="1" t="s">
        <v>2782</v>
      </c>
      <c r="M56" s="18" t="s">
        <v>2580</v>
      </c>
    </row>
    <row r="57" spans="1:13">
      <c r="A57" s="24">
        <v>56273</v>
      </c>
      <c r="B57" s="24" t="s">
        <v>14</v>
      </c>
      <c r="C57" s="24" t="s">
        <v>17</v>
      </c>
      <c r="D57" s="1" t="s">
        <v>1599</v>
      </c>
      <c r="E57" s="8" t="str">
        <f>HYPERLINK("https://stat100.ameba.jp/tnk47/ratio20/illustrations/card/ill_56273_miritarimizugiononotsu03.jpg", "■")</f>
        <v>■</v>
      </c>
      <c r="F57" s="1" t="s">
        <v>1600</v>
      </c>
      <c r="G57" s="1" t="s">
        <v>1084</v>
      </c>
      <c r="H57" s="25" t="s">
        <v>2657</v>
      </c>
      <c r="I57" s="25" t="s">
        <v>802</v>
      </c>
      <c r="J57" s="25" t="s">
        <v>802</v>
      </c>
      <c r="K57" s="25" t="s">
        <v>802</v>
      </c>
      <c r="L57" s="1" t="s">
        <v>2783</v>
      </c>
      <c r="M57" s="18" t="s">
        <v>2784</v>
      </c>
    </row>
    <row r="58" spans="1:13">
      <c r="A58" s="24">
        <v>53923</v>
      </c>
      <c r="B58" s="24" t="s">
        <v>14</v>
      </c>
      <c r="C58" s="24" t="s">
        <v>154</v>
      </c>
      <c r="D58" s="1" t="s">
        <v>1610</v>
      </c>
      <c r="E58" s="8" t="str">
        <f>HYPERLINK("https://stat100.ameba.jp/tnk47/ratio20/illustrations/card/ill_53923_jidaigekibyakko03.jpg", "■")</f>
        <v>■</v>
      </c>
      <c r="F58" s="1" t="s">
        <v>1611</v>
      </c>
      <c r="G58" s="1" t="s">
        <v>1081</v>
      </c>
      <c r="H58" s="25" t="s">
        <v>2657</v>
      </c>
      <c r="I58" s="25" t="s">
        <v>802</v>
      </c>
      <c r="J58" s="25" t="s">
        <v>802</v>
      </c>
      <c r="K58" s="25" t="s">
        <v>802</v>
      </c>
      <c r="L58" s="1" t="s">
        <v>2785</v>
      </c>
      <c r="M58" s="18" t="s">
        <v>3138</v>
      </c>
    </row>
    <row r="59" spans="1:13">
      <c r="A59" s="24">
        <v>55683</v>
      </c>
      <c r="B59" s="24" t="s">
        <v>14</v>
      </c>
      <c r="C59" s="24" t="s">
        <v>154</v>
      </c>
      <c r="D59" s="1" t="s">
        <v>1612</v>
      </c>
      <c r="E59" s="8" t="str">
        <f>HYPERLINK("https://stat100.ameba.jp/tnk47/ratio20/illustrations/card/ill_55683_tenguzoshi03.jpg", "■")</f>
        <v>■</v>
      </c>
      <c r="F59" s="1" t="s">
        <v>1613</v>
      </c>
      <c r="G59" s="1" t="s">
        <v>1131</v>
      </c>
      <c r="H59" s="25"/>
      <c r="I59" s="25" t="s">
        <v>802</v>
      </c>
      <c r="J59" s="25" t="s">
        <v>802</v>
      </c>
      <c r="K59" s="25" t="s">
        <v>802</v>
      </c>
      <c r="L59" s="1" t="s">
        <v>2786</v>
      </c>
      <c r="M59" s="18" t="s">
        <v>3139</v>
      </c>
    </row>
    <row r="60" spans="1:13">
      <c r="A60" s="24">
        <v>67083</v>
      </c>
      <c r="B60" s="24" t="s">
        <v>14</v>
      </c>
      <c r="C60" s="24" t="s">
        <v>154</v>
      </c>
      <c r="D60" s="1" t="s">
        <v>1616</v>
      </c>
      <c r="E60" s="8" t="str">
        <f>HYPERLINK("https://stat100.ameba.jp/tnk47/ratio20/illustrations/card/ill_67083_takachihoyokagura03.jpg", "■")</f>
        <v>■</v>
      </c>
      <c r="F60" s="1" t="s">
        <v>1617</v>
      </c>
      <c r="G60" s="1" t="s">
        <v>1131</v>
      </c>
      <c r="H60" s="25" t="s">
        <v>2657</v>
      </c>
      <c r="I60" s="25" t="s">
        <v>802</v>
      </c>
      <c r="J60" s="25" t="s">
        <v>802</v>
      </c>
      <c r="K60" s="25" t="s">
        <v>802</v>
      </c>
      <c r="L60" s="1" t="s">
        <v>2787</v>
      </c>
      <c r="M60" s="18" t="s">
        <v>3140</v>
      </c>
    </row>
    <row r="61" spans="1:13">
      <c r="A61" s="24">
        <v>51013</v>
      </c>
      <c r="B61" s="24" t="s">
        <v>14</v>
      </c>
      <c r="C61" s="24" t="s">
        <v>191</v>
      </c>
      <c r="D61" s="1" t="s">
        <v>1620</v>
      </c>
      <c r="E61" s="8" t="str">
        <f>HYPERLINK("https://stat100.ameba.jp/tnk47/ratio20/illustrations/card/ill_51013_embitenko03.jpg", "■")</f>
        <v>■</v>
      </c>
      <c r="F61" s="1" t="s">
        <v>1621</v>
      </c>
      <c r="G61" s="1" t="s">
        <v>1084</v>
      </c>
      <c r="H61" s="25" t="s">
        <v>2657</v>
      </c>
      <c r="I61" s="25" t="s">
        <v>802</v>
      </c>
      <c r="J61" s="25" t="s">
        <v>802</v>
      </c>
      <c r="K61" s="25" t="s">
        <v>802</v>
      </c>
      <c r="L61" s="1" t="s">
        <v>2788</v>
      </c>
      <c r="M61" s="18" t="s">
        <v>3141</v>
      </c>
    </row>
    <row r="62" spans="1:13">
      <c r="A62" s="24">
        <v>66323</v>
      </c>
      <c r="B62" s="24" t="s">
        <v>14</v>
      </c>
      <c r="C62" s="24" t="s">
        <v>191</v>
      </c>
      <c r="D62" s="1" t="s">
        <v>1622</v>
      </c>
      <c r="E62" s="8" t="str">
        <f>HYPERLINK("https://stat100.ameba.jp/tnk47/ratio20/illustrations/card/ill_66323_kinchotanuki03.jpg", "■")</f>
        <v>■</v>
      </c>
      <c r="F62" s="1" t="s">
        <v>1623</v>
      </c>
      <c r="G62" s="1" t="s">
        <v>1081</v>
      </c>
      <c r="H62" s="25" t="s">
        <v>2657</v>
      </c>
      <c r="I62" s="25" t="s">
        <v>802</v>
      </c>
      <c r="J62" s="25" t="s">
        <v>802</v>
      </c>
      <c r="K62" s="25" t="s">
        <v>802</v>
      </c>
      <c r="L62" s="1" t="s">
        <v>2789</v>
      </c>
      <c r="M62" s="18" t="s">
        <v>3142</v>
      </c>
    </row>
    <row r="63" spans="1:13">
      <c r="A63" s="24">
        <v>22533</v>
      </c>
      <c r="B63" s="24" t="s">
        <v>41</v>
      </c>
      <c r="C63" s="24" t="s">
        <v>87</v>
      </c>
      <c r="D63" s="1" t="s">
        <v>1634</v>
      </c>
      <c r="E63" s="8" t="str">
        <f>HYPERLINK("https://stat100.ameba.jp/tnk47/ratio20/illustrations/card/ill_22533_kaientaisakamotoryoma03.jpg", "■")</f>
        <v>■</v>
      </c>
      <c r="F63" s="1" t="s">
        <v>2794</v>
      </c>
      <c r="G63" s="1" t="s">
        <v>1199</v>
      </c>
      <c r="H63" s="25" t="s">
        <v>2657</v>
      </c>
      <c r="I63" s="25" t="s">
        <v>802</v>
      </c>
      <c r="J63" s="25" t="s">
        <v>802</v>
      </c>
      <c r="K63" s="25" t="s">
        <v>802</v>
      </c>
      <c r="L63" s="1" t="s">
        <v>2793</v>
      </c>
      <c r="M63" s="18" t="s">
        <v>3143</v>
      </c>
    </row>
    <row r="64" spans="1:13">
      <c r="A64" s="24">
        <v>30303</v>
      </c>
      <c r="B64" s="25" t="s">
        <v>1239</v>
      </c>
      <c r="C64" s="25" t="s">
        <v>87</v>
      </c>
      <c r="D64" s="25" t="s">
        <v>2670</v>
      </c>
      <c r="E64" s="8" t="str">
        <f>HYPERLINK("https://stat100.ameba.jp/tnk47/ratio20/illustrations/card/ill_30303_makaihimiko03.jpg", "■")</f>
        <v>■</v>
      </c>
      <c r="F64" s="25" t="s">
        <v>2671</v>
      </c>
      <c r="G64" s="1"/>
      <c r="H64" s="1"/>
      <c r="I64" s="25">
        <v>21</v>
      </c>
      <c r="J64" s="25">
        <v>80942</v>
      </c>
      <c r="K64" s="25">
        <v>75254</v>
      </c>
      <c r="L64" s="25" t="s">
        <v>1902</v>
      </c>
      <c r="M64" s="25" t="s">
        <v>1903</v>
      </c>
    </row>
    <row r="65" spans="1:14">
      <c r="A65" s="24">
        <v>34823</v>
      </c>
      <c r="B65" s="25" t="s">
        <v>14</v>
      </c>
      <c r="C65" s="25" t="s">
        <v>1179</v>
      </c>
      <c r="D65" s="25" t="s">
        <v>2672</v>
      </c>
      <c r="E65" s="8" t="str">
        <f>HYPERLINK("https://stat100.ameba.jp/tnk47/ratio20/illustrations/card/ill_34823_kentokatsurakogoro03.jpg", "■")</f>
        <v>■</v>
      </c>
      <c r="F65" s="25" t="s">
        <v>2673</v>
      </c>
      <c r="G65" s="1"/>
      <c r="H65" s="1"/>
      <c r="I65" s="25">
        <v>22</v>
      </c>
      <c r="J65" s="25">
        <v>78838</v>
      </c>
      <c r="K65" s="25">
        <v>84796</v>
      </c>
      <c r="L65" s="25" t="s">
        <v>2674</v>
      </c>
      <c r="M65" s="25" t="s">
        <v>2675</v>
      </c>
    </row>
    <row r="66" spans="1:14">
      <c r="A66" s="24">
        <v>47063</v>
      </c>
      <c r="B66" s="24" t="s">
        <v>41</v>
      </c>
      <c r="C66" s="24" t="s">
        <v>87</v>
      </c>
      <c r="D66" s="1" t="s">
        <v>1633</v>
      </c>
      <c r="E66" s="8" t="str">
        <f>HYPERLINK("https://stat100.ameba.jp/tnk47/ratio20/illustrations/card/ill_47063_engekiitsukushimanonaiji03.jpg", "■")</f>
        <v>■</v>
      </c>
      <c r="F66" s="1" t="s">
        <v>2792</v>
      </c>
      <c r="G66" s="1" t="s">
        <v>1284</v>
      </c>
      <c r="H66" s="25" t="s">
        <v>2657</v>
      </c>
      <c r="I66" s="25" t="s">
        <v>802</v>
      </c>
      <c r="J66" s="25" t="s">
        <v>802</v>
      </c>
      <c r="K66" s="25" t="s">
        <v>802</v>
      </c>
      <c r="L66" s="1" t="s">
        <v>2791</v>
      </c>
      <c r="M66" s="18" t="s">
        <v>3144</v>
      </c>
    </row>
    <row r="67" spans="1:14">
      <c r="A67" s="24">
        <v>64013</v>
      </c>
      <c r="B67" s="24" t="s">
        <v>41</v>
      </c>
      <c r="C67" s="24" t="s">
        <v>87</v>
      </c>
      <c r="D67" s="1" t="s">
        <v>1631</v>
      </c>
      <c r="E67" s="8" t="str">
        <f>HYPERLINK("https://stat100.ameba.jp/tnk47/ratio20/illustrations/card/ill_64013_ganjin03.jpg", "■")</f>
        <v>■</v>
      </c>
      <c r="F67" s="1" t="s">
        <v>1632</v>
      </c>
      <c r="G67" s="1" t="s">
        <v>1084</v>
      </c>
      <c r="H67" s="25" t="s">
        <v>2657</v>
      </c>
      <c r="I67" s="25" t="s">
        <v>802</v>
      </c>
      <c r="J67" s="25" t="s">
        <v>802</v>
      </c>
      <c r="K67" s="25" t="s">
        <v>802</v>
      </c>
      <c r="L67" s="1" t="s">
        <v>2790</v>
      </c>
      <c r="M67" s="18" t="s">
        <v>3132</v>
      </c>
    </row>
    <row r="68" spans="1:14">
      <c r="A68" s="24">
        <v>26583</v>
      </c>
      <c r="B68" s="24" t="s">
        <v>41</v>
      </c>
      <c r="C68" s="24" t="s">
        <v>149</v>
      </c>
      <c r="D68" s="22" t="s">
        <v>2683</v>
      </c>
      <c r="E68" s="8" t="str">
        <f>HYPERLINK("https://stat100.ameba.jp/tnk47/ratio20/illustrations/card/ill_26583_setonairemon03.jpg", "■")</f>
        <v>■</v>
      </c>
      <c r="F68" s="1" t="s">
        <v>1641</v>
      </c>
      <c r="G68" s="1" t="s">
        <v>1072</v>
      </c>
      <c r="H68" s="25" t="s">
        <v>2657</v>
      </c>
      <c r="I68" s="25" t="s">
        <v>802</v>
      </c>
      <c r="J68" s="25" t="s">
        <v>802</v>
      </c>
      <c r="K68" s="25" t="s">
        <v>802</v>
      </c>
      <c r="L68" s="1" t="s">
        <v>1907</v>
      </c>
      <c r="M68" s="18" t="s">
        <v>2795</v>
      </c>
    </row>
    <row r="69" spans="1:14">
      <c r="A69" s="24">
        <v>62023</v>
      </c>
      <c r="B69" s="24" t="s">
        <v>41</v>
      </c>
      <c r="C69" s="24" t="s">
        <v>67</v>
      </c>
      <c r="D69" s="22" t="s">
        <v>2688</v>
      </c>
      <c r="E69" s="8" t="str">
        <f>HYPERLINK("https://stat100.ameba.jp/tnk47/ratio20/illustrations/card/ill_62023_awashimanokami03.jpg", "■")</f>
        <v>■</v>
      </c>
      <c r="F69" s="1" t="s">
        <v>1648</v>
      </c>
      <c r="G69" s="1"/>
      <c r="H69" s="25" t="s">
        <v>2815</v>
      </c>
      <c r="I69" s="25" t="s">
        <v>802</v>
      </c>
      <c r="J69" s="25" t="s">
        <v>802</v>
      </c>
      <c r="K69" s="25" t="s">
        <v>802</v>
      </c>
      <c r="L69" s="1" t="s">
        <v>1912</v>
      </c>
      <c r="M69" s="18" t="s">
        <v>3145</v>
      </c>
    </row>
    <row r="70" spans="1:14">
      <c r="A70" s="30">
        <v>25333</v>
      </c>
      <c r="B70" s="30" t="s">
        <v>41</v>
      </c>
      <c r="C70" s="30" t="s">
        <v>26</v>
      </c>
      <c r="D70" s="30" t="s">
        <v>2721</v>
      </c>
      <c r="E70" s="8" t="str">
        <f>HYPERLINK("https://stat100.ameba.jp/tnk47/ratio20/illustrations/card/ill_25333_shodaihattorihanzo03.jpg", "■")</f>
        <v>■</v>
      </c>
      <c r="F70" s="30" t="s">
        <v>2722</v>
      </c>
      <c r="G70" s="30" t="s">
        <v>1142</v>
      </c>
      <c r="H70" s="30" t="s">
        <v>2657</v>
      </c>
      <c r="I70" s="30">
        <v>25</v>
      </c>
      <c r="J70" s="30">
        <v>89590</v>
      </c>
      <c r="K70" s="30">
        <v>96360</v>
      </c>
      <c r="L70" s="30" t="s">
        <v>2723</v>
      </c>
      <c r="M70" s="30" t="s">
        <v>2724</v>
      </c>
    </row>
    <row r="72" spans="1:14">
      <c r="A72" s="24">
        <v>73883</v>
      </c>
      <c r="B72" s="24" t="s">
        <v>95</v>
      </c>
      <c r="C72" s="24" t="s">
        <v>51</v>
      </c>
      <c r="D72" s="22" t="s">
        <v>2707</v>
      </c>
      <c r="E72" s="8" t="str">
        <f>HYPERLINK("https://stat100.ameba.jp/tnk47/ratio20/illustrations/card/ill_73883_sanzenin03.jpg", "■")</f>
        <v>■</v>
      </c>
      <c r="F72" s="1" t="s">
        <v>1955</v>
      </c>
      <c r="G72" s="1" t="s">
        <v>1072</v>
      </c>
      <c r="H72" s="25" t="s">
        <v>2657</v>
      </c>
      <c r="I72" s="1" t="s">
        <v>802</v>
      </c>
      <c r="J72" s="1" t="s">
        <v>802</v>
      </c>
      <c r="K72" s="1" t="s">
        <v>802</v>
      </c>
      <c r="L72" s="1" t="s">
        <v>1956</v>
      </c>
      <c r="M72" s="18" t="s">
        <v>3147</v>
      </c>
    </row>
    <row r="73" spans="1:14">
      <c r="A73" s="24">
        <v>67653</v>
      </c>
      <c r="B73" s="24" t="s">
        <v>95</v>
      </c>
      <c r="C73" s="24" t="s">
        <v>174</v>
      </c>
      <c r="D73" s="22" t="s">
        <v>2716</v>
      </c>
      <c r="E73" s="8" t="str">
        <f>HYPERLINK("https://stat100.ameba.jp/tnk47/ratio20/illustrations/card/ill_67653_kurisumasuibusantakurosu03.jpg", "■")</f>
        <v>■</v>
      </c>
      <c r="F73" s="1" t="s">
        <v>1954</v>
      </c>
      <c r="G73" s="1" t="s">
        <v>1199</v>
      </c>
      <c r="H73" s="1" t="s">
        <v>2657</v>
      </c>
      <c r="I73" s="1" t="s">
        <v>802</v>
      </c>
      <c r="J73" s="1" t="s">
        <v>802</v>
      </c>
      <c r="K73" s="1" t="s">
        <v>802</v>
      </c>
      <c r="L73" s="1" t="s">
        <v>1932</v>
      </c>
      <c r="M73" s="18" t="s">
        <v>3104</v>
      </c>
    </row>
    <row r="74" spans="1:14">
      <c r="A74" s="67"/>
      <c r="B74" s="67"/>
      <c r="C74" s="67"/>
      <c r="D74" s="22"/>
      <c r="E74" s="8"/>
      <c r="F74" s="67"/>
      <c r="G74" s="67"/>
      <c r="H74" s="67"/>
      <c r="I74" s="67"/>
      <c r="J74" s="67"/>
      <c r="K74" s="67"/>
      <c r="L74" s="67"/>
      <c r="M74" s="18"/>
    </row>
    <row r="75" spans="1:14">
      <c r="A75" s="24">
        <v>60453</v>
      </c>
      <c r="B75" s="24" t="s">
        <v>1273</v>
      </c>
      <c r="C75" s="24" t="s">
        <v>154</v>
      </c>
      <c r="D75" s="22" t="s">
        <v>2756</v>
      </c>
      <c r="E75" s="8" t="str">
        <f>HYPERLINK("https://stat100.ameba.jp/tnk47/ratio20/illustrations/card/ill_60453_kitanomachinonieve03.jpg", "■")</f>
        <v>■</v>
      </c>
      <c r="F75" s="1" t="s">
        <v>1693</v>
      </c>
      <c r="G75" s="1"/>
      <c r="H75" s="1"/>
      <c r="I75" s="1">
        <v>20</v>
      </c>
      <c r="J75" s="1">
        <v>86608</v>
      </c>
      <c r="K75" s="1">
        <v>62552</v>
      </c>
      <c r="L75" s="1" t="s">
        <v>1944</v>
      </c>
      <c r="M75" s="1" t="s">
        <v>1945</v>
      </c>
      <c r="N75" s="2" t="s">
        <v>3161</v>
      </c>
    </row>
    <row r="76" spans="1:14">
      <c r="A76" s="24">
        <v>39243</v>
      </c>
      <c r="B76" s="24" t="s">
        <v>1273</v>
      </c>
      <c r="C76" s="24" t="s">
        <v>87</v>
      </c>
      <c r="D76" s="22" t="s">
        <v>2720</v>
      </c>
      <c r="E76" s="8" t="str">
        <f>HYPERLINK("https://stat100.ameba.jp/tnk47/ratio20/illustrations/card/ill_39243_hasukokku03.jpg", "■")</f>
        <v>■</v>
      </c>
      <c r="F76" s="1" t="s">
        <v>1947</v>
      </c>
      <c r="G76" s="1" t="s">
        <v>1131</v>
      </c>
      <c r="H76" s="25" t="s">
        <v>2657</v>
      </c>
      <c r="I76" s="1" t="s">
        <v>802</v>
      </c>
      <c r="J76" s="1" t="s">
        <v>802</v>
      </c>
      <c r="K76" s="1" t="s">
        <v>802</v>
      </c>
      <c r="L76" s="1" t="s">
        <v>1952</v>
      </c>
      <c r="M76" s="18" t="s">
        <v>3148</v>
      </c>
    </row>
  </sheetData>
  <phoneticPr fontId="3"/>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C44868-E167-4B49-824F-6AF7FDD079EE}">
  <dimension ref="A1:N41"/>
  <sheetViews>
    <sheetView zoomScale="55" zoomScaleNormal="55" workbookViewId="0">
      <pane ySplit="1" topLeftCell="A2" activePane="bottomLeft" state="frozen"/>
      <selection pane="bottomLeft"/>
    </sheetView>
  </sheetViews>
  <sheetFormatPr defaultColWidth="8.9140625" defaultRowHeight="18"/>
  <cols>
    <col min="1" max="1" width="6.33203125" style="2" customWidth="1"/>
    <col min="2" max="2" width="10.4140625" style="2" customWidth="1"/>
    <col min="3" max="3" width="5.6640625" style="2" customWidth="1"/>
    <col min="4" max="4" width="25.75" style="2" customWidth="1"/>
    <col min="5" max="5" width="3.9140625" style="69" customWidth="1"/>
    <col min="6" max="6" width="29.08203125" style="2" hidden="1" customWidth="1"/>
    <col min="7" max="8" width="20.75" style="2" hidden="1" customWidth="1"/>
    <col min="9" max="9" width="4.9140625" style="2" customWidth="1"/>
    <col min="10" max="11" width="7.33203125" style="2" customWidth="1"/>
    <col min="12" max="12" width="12.25" style="2" hidden="1" customWidth="1"/>
    <col min="13" max="13" width="65.75" style="2" customWidth="1"/>
    <col min="14" max="14" width="14.33203125" style="2" customWidth="1"/>
    <col min="15" max="16384" width="8.9140625" style="2"/>
  </cols>
  <sheetData>
    <row r="1" spans="1:14">
      <c r="A1" s="13" t="s">
        <v>583</v>
      </c>
      <c r="B1" s="13" t="s">
        <v>0</v>
      </c>
      <c r="C1" s="13" t="s">
        <v>1</v>
      </c>
      <c r="D1" s="13" t="s">
        <v>2</v>
      </c>
      <c r="E1" s="12" t="s">
        <v>2126</v>
      </c>
      <c r="F1" s="13" t="s">
        <v>637</v>
      </c>
      <c r="G1" s="13" t="s">
        <v>1122</v>
      </c>
      <c r="H1" s="13" t="s">
        <v>1040</v>
      </c>
      <c r="I1" s="12" t="s">
        <v>114</v>
      </c>
      <c r="J1" s="12" t="s">
        <v>657</v>
      </c>
      <c r="K1" s="12" t="s">
        <v>658</v>
      </c>
      <c r="L1" s="12" t="s">
        <v>4</v>
      </c>
      <c r="M1" s="12" t="s">
        <v>2803</v>
      </c>
      <c r="N1" s="12" t="s">
        <v>1951</v>
      </c>
    </row>
    <row r="2" spans="1:14">
      <c r="C2" s="69"/>
      <c r="D2" s="69"/>
      <c r="F2" s="69"/>
      <c r="G2" s="17"/>
      <c r="H2" s="17"/>
      <c r="L2" s="69"/>
      <c r="M2" s="69"/>
    </row>
    <row r="3" spans="1:14">
      <c r="A3" s="2" t="s">
        <v>3162</v>
      </c>
      <c r="C3" s="69"/>
      <c r="D3" s="69"/>
      <c r="F3" s="69"/>
      <c r="G3" s="17"/>
      <c r="H3" s="17"/>
      <c r="L3" s="69"/>
      <c r="M3" s="69"/>
    </row>
    <row r="4" spans="1:14">
      <c r="C4" s="69"/>
      <c r="D4" s="69"/>
      <c r="F4" s="69"/>
      <c r="G4" s="17"/>
      <c r="H4" s="17"/>
      <c r="L4" s="69"/>
      <c r="M4" s="69"/>
    </row>
    <row r="5" spans="1:14">
      <c r="A5" s="69">
        <v>48933</v>
      </c>
      <c r="B5" s="69" t="s">
        <v>261</v>
      </c>
      <c r="C5" s="69" t="s">
        <v>59</v>
      </c>
      <c r="D5" s="22" t="s">
        <v>2697</v>
      </c>
      <c r="E5" s="8" t="str">
        <f>HYPERLINK("https://stat100.ameba.jp/tnk47/ratio20/illustrations/card/ill_48933_zeusutenchitennou03.jpg", "■")</f>
        <v>■</v>
      </c>
      <c r="F5" s="69" t="s">
        <v>1684</v>
      </c>
      <c r="G5" s="69"/>
      <c r="H5" s="69" t="s">
        <v>2698</v>
      </c>
      <c r="I5" s="69">
        <v>23</v>
      </c>
      <c r="J5" s="69">
        <v>82422</v>
      </c>
      <c r="K5" s="69">
        <v>136343</v>
      </c>
      <c r="L5" s="69" t="s">
        <v>1937</v>
      </c>
      <c r="M5" s="69" t="s">
        <v>1938</v>
      </c>
    </row>
    <row r="6" spans="1:14">
      <c r="A6" s="69">
        <v>54603</v>
      </c>
      <c r="B6" s="69" t="s">
        <v>208</v>
      </c>
      <c r="C6" s="69" t="s">
        <v>59</v>
      </c>
      <c r="D6" s="22" t="s">
        <v>2215</v>
      </c>
      <c r="E6" s="8" t="str">
        <f>HYPERLINK("https://stat100.ameba.jp/tnk47/ratio20/illustrations/card/ill_54603_kurokishisanadayukimura03.jpg", "■")</f>
        <v>■</v>
      </c>
      <c r="F6" s="69" t="s">
        <v>1666</v>
      </c>
      <c r="G6" s="69"/>
      <c r="H6" s="69" t="s">
        <v>1667</v>
      </c>
      <c r="I6" s="69">
        <v>23</v>
      </c>
      <c r="J6" s="69">
        <v>82422</v>
      </c>
      <c r="K6" s="69">
        <v>88650</v>
      </c>
      <c r="L6" s="69" t="s">
        <v>1922</v>
      </c>
      <c r="M6" s="69" t="s">
        <v>2057</v>
      </c>
    </row>
    <row r="7" spans="1:14">
      <c r="A7" s="69">
        <v>55443</v>
      </c>
      <c r="B7" s="69" t="s">
        <v>208</v>
      </c>
      <c r="C7" s="69" t="s">
        <v>59</v>
      </c>
      <c r="D7" s="22" t="s">
        <v>239</v>
      </c>
      <c r="E7" s="8" t="str">
        <f>HYPERLINK("https://stat100.ameba.jp/tnk47/ratio20/illustrations/card/ill_55443_kakutogimorirammaru03.jpg", "■")</f>
        <v>■</v>
      </c>
      <c r="F7" s="69" t="s">
        <v>240</v>
      </c>
      <c r="G7" s="69"/>
      <c r="H7" s="69" t="s">
        <v>1017</v>
      </c>
      <c r="I7" s="69">
        <v>23</v>
      </c>
      <c r="J7" s="69">
        <v>82422</v>
      </c>
      <c r="K7" s="69">
        <v>136343</v>
      </c>
      <c r="L7" s="69" t="s">
        <v>241</v>
      </c>
      <c r="M7" s="69" t="s">
        <v>3160</v>
      </c>
    </row>
    <row r="8" spans="1:14">
      <c r="A8" s="69">
        <v>56103</v>
      </c>
      <c r="B8" s="69" t="s">
        <v>261</v>
      </c>
      <c r="C8" s="69" t="s">
        <v>59</v>
      </c>
      <c r="D8" s="22" t="s">
        <v>2699</v>
      </c>
      <c r="E8" s="8" t="str">
        <f>HYPERLINK("https://stat100.ameba.jp/tnk47/ratio20/illustrations/card/ill_56103_tenshitsuneyamagozen03.jpg", "■")</f>
        <v>■</v>
      </c>
      <c r="F8" s="69" t="s">
        <v>1664</v>
      </c>
      <c r="G8" s="69"/>
      <c r="H8" s="69" t="s">
        <v>2700</v>
      </c>
      <c r="I8" s="69">
        <v>23</v>
      </c>
      <c r="J8" s="69">
        <v>82422</v>
      </c>
      <c r="K8" s="69">
        <v>136343</v>
      </c>
      <c r="L8" s="69" t="s">
        <v>1920</v>
      </c>
      <c r="M8" s="69" t="s">
        <v>3159</v>
      </c>
    </row>
    <row r="9" spans="1:14">
      <c r="A9" s="69">
        <v>56613</v>
      </c>
      <c r="B9" s="69" t="s">
        <v>2658</v>
      </c>
      <c r="C9" s="69" t="s">
        <v>59</v>
      </c>
      <c r="D9" s="22" t="s">
        <v>2216</v>
      </c>
      <c r="E9" s="8" t="str">
        <f>HYPERLINK("https://stat100.ameba.jp/tnk47/ratio20/illustrations/card/ill_56613_genjushimasakon03.jpg", "■")</f>
        <v>■</v>
      </c>
      <c r="F9" s="69" t="s">
        <v>1665</v>
      </c>
      <c r="G9" s="69"/>
      <c r="H9" s="69" t="s">
        <v>2801</v>
      </c>
      <c r="I9" s="69">
        <v>23</v>
      </c>
      <c r="J9" s="69">
        <v>136343</v>
      </c>
      <c r="K9" s="69">
        <v>82422</v>
      </c>
      <c r="L9" s="69" t="s">
        <v>1921</v>
      </c>
      <c r="M9" s="69" t="s">
        <v>3109</v>
      </c>
    </row>
    <row r="10" spans="1:14">
      <c r="A10" s="69">
        <v>45573</v>
      </c>
      <c r="B10" s="69" t="s">
        <v>1269</v>
      </c>
      <c r="C10" s="69" t="s">
        <v>17</v>
      </c>
      <c r="D10" s="69" t="s">
        <v>1512</v>
      </c>
      <c r="E10" s="8" t="str">
        <f>HYPERLINK("https://stat100.ameba.jp/tnk47/ratio20/illustrations/card/ill_45573_gokuhimeoichi03.jpg", "■")</f>
        <v>■</v>
      </c>
      <c r="F10" s="69" t="s">
        <v>1513</v>
      </c>
      <c r="G10" s="69" t="s">
        <v>2581</v>
      </c>
      <c r="H10" t="s">
        <v>2704</v>
      </c>
      <c r="I10" s="69">
        <v>23</v>
      </c>
      <c r="J10" s="69">
        <v>88650</v>
      </c>
      <c r="K10" s="69">
        <v>82422</v>
      </c>
      <c r="L10" s="69" t="s">
        <v>2579</v>
      </c>
      <c r="M10" s="69" t="s">
        <v>2580</v>
      </c>
    </row>
    <row r="11" spans="1:14">
      <c r="A11" s="69">
        <v>46803</v>
      </c>
      <c r="B11" s="69" t="s">
        <v>1268</v>
      </c>
      <c r="C11" s="69" t="s">
        <v>209</v>
      </c>
      <c r="D11" s="22" t="s">
        <v>2701</v>
      </c>
      <c r="E11" s="8" t="str">
        <f>HYPERLINK("https://stat100.ameba.jp/tnk47/ratio20/illustrations/card/ill_46803_seiyadoroboumerii03.jpg", "■")</f>
        <v>■</v>
      </c>
      <c r="F11" s="69" t="s">
        <v>1669</v>
      </c>
      <c r="G11" s="69"/>
      <c r="H11" s="69" t="s">
        <v>1670</v>
      </c>
      <c r="I11" s="69">
        <v>23</v>
      </c>
      <c r="J11" s="69">
        <v>82422</v>
      </c>
      <c r="K11" s="69">
        <v>88650</v>
      </c>
      <c r="L11" s="69" t="s">
        <v>1924</v>
      </c>
      <c r="M11" s="69" t="s">
        <v>2058</v>
      </c>
    </row>
    <row r="12" spans="1:14">
      <c r="A12" s="69">
        <v>55373</v>
      </c>
      <c r="B12" s="69" t="s">
        <v>261</v>
      </c>
      <c r="C12" s="69" t="s">
        <v>154</v>
      </c>
      <c r="D12" s="22" t="s">
        <v>3051</v>
      </c>
      <c r="E12" s="8" t="str">
        <f>HYPERLINK("https://stat100.ameba.jp/tnk47/ratio20/illustrations/card/ill_55373_naitopateimeigetsuhime03.jpg", "■")</f>
        <v>■</v>
      </c>
      <c r="F12" s="69" t="s">
        <v>3052</v>
      </c>
      <c r="G12" s="69"/>
      <c r="H12" s="69" t="s">
        <v>3150</v>
      </c>
      <c r="I12" s="69">
        <v>23</v>
      </c>
      <c r="J12" s="69">
        <v>88650</v>
      </c>
      <c r="K12" s="69">
        <v>82422</v>
      </c>
      <c r="L12" s="69" t="s">
        <v>3053</v>
      </c>
      <c r="M12" s="69" t="s">
        <v>3110</v>
      </c>
    </row>
    <row r="13" spans="1:14">
      <c r="A13" s="69">
        <v>57103</v>
      </c>
      <c r="B13" s="69" t="s">
        <v>261</v>
      </c>
      <c r="C13" s="69" t="s">
        <v>154</v>
      </c>
      <c r="D13" s="69" t="s">
        <v>1614</v>
      </c>
      <c r="E13" s="8" t="str">
        <f>HYPERLINK("https://stat100.ameba.jp/tnk47/ratio20/illustrations/card/ill_57103_heikemonogatariemaki03.jpg", "■")</f>
        <v>■</v>
      </c>
      <c r="F13" s="69" t="s">
        <v>2754</v>
      </c>
      <c r="G13" s="69"/>
      <c r="H13" s="69" t="s">
        <v>2800</v>
      </c>
      <c r="I13" s="69">
        <v>23</v>
      </c>
      <c r="J13" s="69">
        <v>69601</v>
      </c>
      <c r="K13" s="69">
        <v>94922</v>
      </c>
      <c r="L13" s="69" t="s">
        <v>2755</v>
      </c>
      <c r="M13" s="14" t="s">
        <v>3157</v>
      </c>
    </row>
    <row r="14" spans="1:14">
      <c r="A14" s="74">
        <v>53713</v>
      </c>
      <c r="B14" s="74" t="s">
        <v>217</v>
      </c>
      <c r="C14" s="74" t="s">
        <v>191</v>
      </c>
      <c r="D14" s="22" t="s">
        <v>3211</v>
      </c>
      <c r="E14" s="8" t="str">
        <f>HYPERLINK("https://stat100.ameba.jp/tnk47/ratio20/illustrations/card/ill_53713_burajiruchokeshin03.jpg", "■")</f>
        <v>■</v>
      </c>
      <c r="F14" s="74" t="s">
        <v>3212</v>
      </c>
      <c r="G14" s="74"/>
      <c r="H14" s="74" t="s">
        <v>3213</v>
      </c>
      <c r="I14" s="74">
        <v>23</v>
      </c>
      <c r="J14" s="74">
        <v>82422</v>
      </c>
      <c r="K14" s="74">
        <v>88650</v>
      </c>
      <c r="L14" s="74" t="s">
        <v>3214</v>
      </c>
      <c r="M14" s="74" t="s">
        <v>3215</v>
      </c>
    </row>
    <row r="15" spans="1:14">
      <c r="A15" s="69">
        <v>57093</v>
      </c>
      <c r="B15" s="69" t="s">
        <v>217</v>
      </c>
      <c r="C15" s="69" t="s">
        <v>191</v>
      </c>
      <c r="D15" s="69" t="s">
        <v>1533</v>
      </c>
      <c r="E15" s="8" t="str">
        <f>HYPERLINK("https://stat100.ameba.jp/tnk47/ratio20/illustrations/card/ill_57093_tenguwarai03.jpg", "■")</f>
        <v>■</v>
      </c>
      <c r="F15" s="69" t="s">
        <v>1534</v>
      </c>
      <c r="G15" s="69"/>
      <c r="H15" s="69" t="s">
        <v>2799</v>
      </c>
      <c r="I15" s="69">
        <v>23</v>
      </c>
      <c r="J15" s="69">
        <v>94922</v>
      </c>
      <c r="K15" s="69">
        <v>69601</v>
      </c>
      <c r="L15" s="69" t="s">
        <v>2753</v>
      </c>
      <c r="M15" s="14" t="s">
        <v>3047</v>
      </c>
    </row>
    <row r="16" spans="1:14">
      <c r="A16" s="69">
        <v>56373</v>
      </c>
      <c r="B16" s="69" t="s">
        <v>261</v>
      </c>
      <c r="C16" s="69" t="s">
        <v>119</v>
      </c>
      <c r="D16" s="69" t="s">
        <v>3054</v>
      </c>
      <c r="E16" s="8" t="str">
        <f>HYPERLINK("https://stat100.ameba.jp/tnk47/ratio20/illustrations/card/ill_56373_chisembotan03.jpg", "■")</f>
        <v>■</v>
      </c>
      <c r="F16" s="69" t="s">
        <v>3055</v>
      </c>
      <c r="G16" s="69"/>
      <c r="H16" s="69" t="s">
        <v>3151</v>
      </c>
      <c r="I16" s="69">
        <v>23</v>
      </c>
      <c r="J16" s="69">
        <v>82422</v>
      </c>
      <c r="K16" s="69">
        <v>88650</v>
      </c>
      <c r="L16" s="69" t="s">
        <v>3056</v>
      </c>
      <c r="M16" s="69" t="s">
        <v>3111</v>
      </c>
    </row>
    <row r="17" spans="1:13">
      <c r="A17" s="69">
        <v>56523</v>
      </c>
      <c r="B17" s="69" t="s">
        <v>1271</v>
      </c>
      <c r="C17" s="69" t="s">
        <v>119</v>
      </c>
      <c r="D17" s="22" t="s">
        <v>2219</v>
      </c>
      <c r="E17" s="8" t="str">
        <f>HYPERLINK("https://stat100.ameba.jp/tnk47/ratio20/illustrations/card/ill_56523_rappinguotometsubaki03.jpg", "■")</f>
        <v>■</v>
      </c>
      <c r="F17" s="69" t="s">
        <v>1686</v>
      </c>
      <c r="G17" s="69"/>
      <c r="H17" s="69" t="s">
        <v>1687</v>
      </c>
      <c r="I17" s="69">
        <v>23</v>
      </c>
      <c r="J17" s="69">
        <v>88650</v>
      </c>
      <c r="K17" s="69">
        <v>82422</v>
      </c>
      <c r="L17" s="69" t="s">
        <v>1940</v>
      </c>
      <c r="M17" s="69" t="s">
        <v>2062</v>
      </c>
    </row>
    <row r="18" spans="1:13">
      <c r="A18" s="69">
        <v>47833</v>
      </c>
      <c r="B18" s="69" t="s">
        <v>1271</v>
      </c>
      <c r="C18" s="69" t="s">
        <v>169</v>
      </c>
      <c r="D18" s="22" t="s">
        <v>2708</v>
      </c>
      <c r="E18" s="8" t="str">
        <f>HYPERLINK("https://stat100.ameba.jp/tnk47/ratio20/illustrations/card/ill_47833_kaizokukatsukaishuu03.jpg", "■")</f>
        <v>■</v>
      </c>
      <c r="F18" s="69" t="s">
        <v>1688</v>
      </c>
      <c r="G18" s="69"/>
      <c r="H18" t="s">
        <v>2709</v>
      </c>
      <c r="I18" s="69">
        <v>23</v>
      </c>
      <c r="J18" s="69">
        <v>82422</v>
      </c>
      <c r="K18" s="69">
        <v>88650</v>
      </c>
      <c r="L18" s="69" t="s">
        <v>1941</v>
      </c>
      <c r="M18" s="69" t="s">
        <v>2063</v>
      </c>
    </row>
    <row r="19" spans="1:13">
      <c r="A19" s="69">
        <v>54713</v>
      </c>
      <c r="B19" s="69" t="s">
        <v>208</v>
      </c>
      <c r="C19" s="69" t="s">
        <v>87</v>
      </c>
      <c r="D19" s="22" t="s">
        <v>2710</v>
      </c>
      <c r="E19" s="8" t="str">
        <f>HYPERLINK("https://stat100.ameba.jp/tnk47/ratio20/illustrations/card/ill_54713_okashiononokomachi03.jpg", "■")</f>
        <v>■</v>
      </c>
      <c r="F19" s="69" t="s">
        <v>3060</v>
      </c>
      <c r="G19" s="69"/>
      <c r="H19" s="69" t="s">
        <v>1673</v>
      </c>
      <c r="I19" s="69">
        <v>23</v>
      </c>
      <c r="J19" s="69">
        <v>88650</v>
      </c>
      <c r="K19" s="69">
        <v>82422</v>
      </c>
      <c r="L19" s="69" t="s">
        <v>1927</v>
      </c>
      <c r="M19" s="69" t="s">
        <v>2064</v>
      </c>
    </row>
    <row r="20" spans="1:13">
      <c r="A20" s="69">
        <v>53193</v>
      </c>
      <c r="B20" s="69" t="s">
        <v>1271</v>
      </c>
      <c r="C20" s="69" t="s">
        <v>6</v>
      </c>
      <c r="D20" s="22" t="s">
        <v>3149</v>
      </c>
      <c r="E20" s="8" t="str">
        <f>HYPERLINK("https://stat100.ameba.jp/tnk47/ratio20/illustrations/card/ill_53193_reimbokakigorichan03.jpg", "■")</f>
        <v>■</v>
      </c>
      <c r="F20" s="69" t="s">
        <v>1690</v>
      </c>
      <c r="G20" s="69"/>
      <c r="H20" s="69" t="s">
        <v>2698</v>
      </c>
      <c r="I20" s="69">
        <v>23</v>
      </c>
      <c r="J20" s="69">
        <v>88650</v>
      </c>
      <c r="K20" s="69">
        <v>82422</v>
      </c>
      <c r="L20" s="69" t="s">
        <v>1942</v>
      </c>
      <c r="M20" s="69" t="s">
        <v>2065</v>
      </c>
    </row>
    <row r="21" spans="1:13">
      <c r="A21" s="69">
        <v>56673</v>
      </c>
      <c r="B21" s="69" t="s">
        <v>1271</v>
      </c>
      <c r="C21" s="69" t="s">
        <v>6</v>
      </c>
      <c r="D21" s="22" t="s">
        <v>3064</v>
      </c>
      <c r="E21" s="8" t="str">
        <f>HYPERLINK("https://stat100.ameba.jp/tnk47/ratio20/illustrations/card/ill_56673_daibinguchozame03.jpg", "■")</f>
        <v>■</v>
      </c>
      <c r="F21" s="69" t="s">
        <v>3065</v>
      </c>
      <c r="G21" s="69"/>
      <c r="H21" s="69" t="s">
        <v>1163</v>
      </c>
      <c r="I21" s="69">
        <v>23</v>
      </c>
      <c r="J21" s="69">
        <v>88650</v>
      </c>
      <c r="K21" s="69">
        <v>82422</v>
      </c>
      <c r="L21" s="69" t="s">
        <v>3066</v>
      </c>
      <c r="M21" s="69" t="s">
        <v>3113</v>
      </c>
    </row>
    <row r="22" spans="1:13">
      <c r="A22" s="69">
        <v>45773</v>
      </c>
      <c r="B22" s="69" t="s">
        <v>1270</v>
      </c>
      <c r="C22" s="69" t="s">
        <v>1233</v>
      </c>
      <c r="D22" s="69" t="s">
        <v>2635</v>
      </c>
      <c r="E22" s="8" t="str">
        <f>HYPERLINK("https://stat100.ameba.jp/tnk47/ratio20/illustrations/card/ill_45773_tenshimurasamemaru03.jpg", "■")</f>
        <v>■</v>
      </c>
      <c r="F22" s="69" t="s">
        <v>2636</v>
      </c>
      <c r="G22" s="69" t="s">
        <v>1321</v>
      </c>
      <c r="H22" s="69" t="s">
        <v>2609</v>
      </c>
      <c r="I22" s="69">
        <v>23</v>
      </c>
      <c r="J22" s="69">
        <v>82422</v>
      </c>
      <c r="K22" s="69">
        <v>88650</v>
      </c>
      <c r="L22" s="69" t="s">
        <v>2633</v>
      </c>
      <c r="M22" s="69" t="s">
        <v>2634</v>
      </c>
    </row>
    <row r="23" spans="1:13">
      <c r="A23" s="69">
        <v>44102</v>
      </c>
      <c r="B23" s="69" t="s">
        <v>1269</v>
      </c>
      <c r="C23" s="69" t="s">
        <v>123</v>
      </c>
      <c r="D23" s="22" t="s">
        <v>2717</v>
      </c>
      <c r="E23" s="8" t="str">
        <f>HYPERLINK("https://stat100.ameba.jp/tnk47/ratio20/illustrations/card/ill_44102_shinobisarutobisasuke02.jpg", "■")</f>
        <v>■</v>
      </c>
      <c r="F23" s="69" t="s">
        <v>1678</v>
      </c>
      <c r="G23" s="69"/>
      <c r="H23" s="69" t="s">
        <v>2718</v>
      </c>
      <c r="I23" s="69">
        <v>23</v>
      </c>
      <c r="J23" s="69">
        <v>88650</v>
      </c>
      <c r="K23" s="69">
        <v>82422</v>
      </c>
      <c r="L23" s="69" t="s">
        <v>1933</v>
      </c>
      <c r="M23" s="69" t="s">
        <v>2066</v>
      </c>
    </row>
    <row r="24" spans="1:13">
      <c r="A24" s="69">
        <v>56653</v>
      </c>
      <c r="B24" s="69" t="s">
        <v>1272</v>
      </c>
      <c r="C24" s="69" t="s">
        <v>123</v>
      </c>
      <c r="D24" s="22" t="s">
        <v>2719</v>
      </c>
      <c r="E24" s="8" t="str">
        <f>HYPERLINK("https://stat100.ameba.jp/tnk47/ratio20/illustrations/card/ill_56653_irumineshonizumishikibu03.jpg", "■")</f>
        <v>■</v>
      </c>
      <c r="F24" s="69" t="s">
        <v>1691</v>
      </c>
      <c r="G24" s="69"/>
      <c r="H24" s="69" t="s">
        <v>1692</v>
      </c>
      <c r="I24" s="69">
        <v>23</v>
      </c>
      <c r="J24" s="69">
        <v>82422</v>
      </c>
      <c r="K24" s="69">
        <v>88650</v>
      </c>
      <c r="L24" s="69" t="s">
        <v>1943</v>
      </c>
      <c r="M24" s="69" t="s">
        <v>2067</v>
      </c>
    </row>
    <row r="25" spans="1:13">
      <c r="E25" s="24"/>
    </row>
    <row r="26" spans="1:13">
      <c r="A26" s="24">
        <v>48453</v>
      </c>
      <c r="B26" s="24" t="s">
        <v>208</v>
      </c>
      <c r="C26" s="24" t="s">
        <v>96</v>
      </c>
      <c r="D26" s="22" t="s">
        <v>2696</v>
      </c>
      <c r="E26" s="8" t="str">
        <f>HYPERLINK("http://stat100.ameba.jp/tnk47/ratio20/illustrations/card/ill_48453_saitoudenkibou03.jpg", "■")</f>
        <v>■</v>
      </c>
      <c r="F26" s="1" t="s">
        <v>1663</v>
      </c>
      <c r="G26" s="1"/>
      <c r="H26" s="1"/>
      <c r="I26" s="33" t="s">
        <v>802</v>
      </c>
      <c r="J26" s="33" t="s">
        <v>802</v>
      </c>
      <c r="K26" s="33" t="s">
        <v>802</v>
      </c>
      <c r="L26" s="33" t="s">
        <v>802</v>
      </c>
      <c r="M26" s="33" t="s">
        <v>802</v>
      </c>
    </row>
    <row r="27" spans="1:13">
      <c r="A27" s="67">
        <v>42153</v>
      </c>
      <c r="B27" s="67" t="s">
        <v>2658</v>
      </c>
      <c r="C27" s="67" t="s">
        <v>17</v>
      </c>
      <c r="D27" s="22" t="s">
        <v>3048</v>
      </c>
      <c r="E27" s="8" t="str">
        <f>HYPERLINK("https://stat100.ameba.jp/tnk47/ratio20/illustrations/card/ill_42153_konishimaria03.jpg", "■")</f>
        <v>■</v>
      </c>
      <c r="F27" s="67" t="s">
        <v>3049</v>
      </c>
      <c r="G27" s="67"/>
      <c r="H27" s="67"/>
      <c r="I27" s="67">
        <v>23</v>
      </c>
      <c r="J27" s="67">
        <v>88650</v>
      </c>
      <c r="K27" s="67">
        <v>82422</v>
      </c>
      <c r="L27" s="67" t="s">
        <v>3050</v>
      </c>
      <c r="M27" s="67" t="s">
        <v>2580</v>
      </c>
    </row>
    <row r="28" spans="1:13">
      <c r="A28" s="24">
        <v>50283</v>
      </c>
      <c r="B28" s="24" t="s">
        <v>1267</v>
      </c>
      <c r="C28" s="24" t="s">
        <v>17</v>
      </c>
      <c r="D28" s="22" t="s">
        <v>2702</v>
      </c>
      <c r="E28" s="8" t="str">
        <f>HYPERLINK("http://stat100.ameba.jp/tnk47/ratio20/illustrations/card/ill_50283_shimazuiyohime03.jpg", "■")</f>
        <v>■</v>
      </c>
      <c r="F28" s="1" t="s">
        <v>1668</v>
      </c>
      <c r="G28" s="1" t="s">
        <v>1302</v>
      </c>
      <c r="H28" s="25" t="s">
        <v>2657</v>
      </c>
      <c r="I28" s="1" t="s">
        <v>802</v>
      </c>
      <c r="J28" s="1" t="s">
        <v>802</v>
      </c>
      <c r="K28" s="1" t="s">
        <v>802</v>
      </c>
      <c r="L28" s="1" t="s">
        <v>1923</v>
      </c>
      <c r="M28" s="18" t="s">
        <v>2796</v>
      </c>
    </row>
    <row r="29" spans="1:13">
      <c r="A29" s="24">
        <v>54893</v>
      </c>
      <c r="B29" s="24" t="s">
        <v>1270</v>
      </c>
      <c r="C29" s="24" t="s">
        <v>209</v>
      </c>
      <c r="D29" s="22" t="s">
        <v>2705</v>
      </c>
      <c r="E29" s="8" t="str">
        <f>HYPERLINK("https://stat100.ameba.jp/tnk47/ratio20/illustrations/card/ill_54893_baniyododono03.jpg", "■")</f>
        <v>■</v>
      </c>
      <c r="F29" s="1" t="s">
        <v>1682</v>
      </c>
      <c r="G29" s="1"/>
      <c r="H29" s="1"/>
      <c r="I29" s="1">
        <v>20</v>
      </c>
      <c r="J29" s="1">
        <v>77088</v>
      </c>
      <c r="K29" s="1">
        <v>71672</v>
      </c>
      <c r="L29" s="1" t="s">
        <v>1935</v>
      </c>
      <c r="M29" s="1" t="s">
        <v>2025</v>
      </c>
    </row>
    <row r="30" spans="1:13">
      <c r="A30" s="24">
        <v>49663</v>
      </c>
      <c r="B30" s="24" t="s">
        <v>261</v>
      </c>
      <c r="C30" s="24" t="s">
        <v>44</v>
      </c>
      <c r="D30" s="22" t="s">
        <v>2217</v>
      </c>
      <c r="E30" s="8" t="str">
        <f>HYPERLINK("https://stat100.ameba.jp/tnk47/ratio20/illustrations/card/ill_49663_puroresuchujohime03.jpg", "■")</f>
        <v>■</v>
      </c>
      <c r="F30" s="1" t="s">
        <v>1683</v>
      </c>
      <c r="G30" s="1"/>
      <c r="H30" s="1"/>
      <c r="I30" s="1">
        <v>20</v>
      </c>
      <c r="J30" s="1">
        <v>71672</v>
      </c>
      <c r="K30" s="1">
        <v>77088</v>
      </c>
      <c r="L30" s="1" t="s">
        <v>1936</v>
      </c>
      <c r="M30" s="1" t="s">
        <v>2059</v>
      </c>
    </row>
    <row r="31" spans="1:13">
      <c r="A31" s="24" t="s">
        <v>802</v>
      </c>
      <c r="B31" s="24" t="s">
        <v>1957</v>
      </c>
      <c r="C31" s="24" t="s">
        <v>191</v>
      </c>
      <c r="D31" s="1" t="s">
        <v>1671</v>
      </c>
      <c r="E31" s="20" t="s">
        <v>802</v>
      </c>
      <c r="F31" s="1" t="s">
        <v>1672</v>
      </c>
      <c r="G31" s="1"/>
      <c r="H31" s="1"/>
      <c r="I31" s="1">
        <v>18</v>
      </c>
      <c r="J31" s="1">
        <v>69378</v>
      </c>
      <c r="K31" s="1">
        <v>64504</v>
      </c>
      <c r="L31" s="1" t="s">
        <v>1926</v>
      </c>
      <c r="M31" s="1" t="s">
        <v>2061</v>
      </c>
    </row>
    <row r="32" spans="1:13">
      <c r="A32" s="24">
        <v>55413</v>
      </c>
      <c r="B32" s="24" t="s">
        <v>261</v>
      </c>
      <c r="C32" s="24" t="s">
        <v>191</v>
      </c>
      <c r="D32" s="22" t="s">
        <v>2218</v>
      </c>
      <c r="E32" s="8" t="str">
        <f>HYPERLINK("https://stat100.ameba.jp/tnk47/ratio20/illustrations/card/ill_55413_undokaishirachigo03.jpg", "■")</f>
        <v>■</v>
      </c>
      <c r="F32" s="1" t="s">
        <v>1685</v>
      </c>
      <c r="G32" s="1"/>
      <c r="H32" s="1"/>
      <c r="I32" s="1">
        <v>20</v>
      </c>
      <c r="J32" s="1">
        <v>77088</v>
      </c>
      <c r="K32" s="1">
        <v>71672</v>
      </c>
      <c r="L32" s="1" t="s">
        <v>1939</v>
      </c>
      <c r="M32" s="1" t="s">
        <v>957</v>
      </c>
    </row>
    <row r="33" spans="1:13">
      <c r="A33" s="24">
        <v>56253</v>
      </c>
      <c r="B33" s="24" t="s">
        <v>1270</v>
      </c>
      <c r="C33" s="24" t="s">
        <v>1696</v>
      </c>
      <c r="D33" s="24" t="s">
        <v>2706</v>
      </c>
      <c r="E33" s="8" t="str">
        <f>HYPERLINK("https://stat100.ameba.jp/tnk47/ratio20/illustrations/card/ill_56253_ongakusaishinigami03.jpg", "■")</f>
        <v>■</v>
      </c>
      <c r="F33" s="24" t="s">
        <v>2600</v>
      </c>
      <c r="G33" s="1" t="s">
        <v>1481</v>
      </c>
      <c r="H33" s="25" t="s">
        <v>2657</v>
      </c>
      <c r="I33" s="24">
        <v>22</v>
      </c>
      <c r="J33" s="24">
        <v>84796</v>
      </c>
      <c r="K33" s="24">
        <v>78838</v>
      </c>
      <c r="L33" s="24" t="s">
        <v>2601</v>
      </c>
      <c r="M33" s="24" t="s">
        <v>2602</v>
      </c>
    </row>
    <row r="34" spans="1:13">
      <c r="A34" s="24">
        <v>56583</v>
      </c>
      <c r="B34" s="24" t="s">
        <v>1271</v>
      </c>
      <c r="C34" s="24" t="s">
        <v>74</v>
      </c>
      <c r="D34" s="24" t="s">
        <v>2598</v>
      </c>
      <c r="E34" s="8" t="str">
        <f>HYPERLINK("https://stat100.ameba.jp/tnk47/ratio20/illustrations/card/ill_56583_genjufurutsubakinorei03.jpg", "■")</f>
        <v>■</v>
      </c>
      <c r="F34" s="24" t="s">
        <v>1537</v>
      </c>
      <c r="G34" s="1" t="s">
        <v>1199</v>
      </c>
      <c r="H34" s="1" t="s">
        <v>2657</v>
      </c>
      <c r="I34" s="24">
        <v>22</v>
      </c>
      <c r="J34" s="24">
        <v>84796</v>
      </c>
      <c r="K34" s="24">
        <v>78838</v>
      </c>
      <c r="L34" s="24" t="s">
        <v>2599</v>
      </c>
      <c r="M34" s="24" t="s">
        <v>3146</v>
      </c>
    </row>
    <row r="35" spans="1:13">
      <c r="A35" s="67">
        <v>36873</v>
      </c>
      <c r="B35" s="67" t="s">
        <v>1268</v>
      </c>
      <c r="C35" s="67" t="s">
        <v>169</v>
      </c>
      <c r="D35" s="67" t="s">
        <v>3057</v>
      </c>
      <c r="E35" s="8" t="str">
        <f>HYPERLINK("https://stat100.ameba.jp/tnk47/ratio20/illustrations/card/ill_57093_tenguwarai03.jpg", "■")</f>
        <v>■</v>
      </c>
      <c r="F35" s="67" t="s">
        <v>3058</v>
      </c>
      <c r="G35" s="67"/>
      <c r="H35" s="67"/>
      <c r="I35" s="67">
        <v>23</v>
      </c>
      <c r="J35" s="67">
        <v>69601</v>
      </c>
      <c r="K35" s="67">
        <v>94922</v>
      </c>
      <c r="L35" s="67" t="s">
        <v>3059</v>
      </c>
      <c r="M35" s="14" t="s">
        <v>3112</v>
      </c>
    </row>
    <row r="36" spans="1:13">
      <c r="A36" s="24">
        <v>26133</v>
      </c>
      <c r="B36" s="24" t="s">
        <v>208</v>
      </c>
      <c r="C36" s="24" t="s">
        <v>67</v>
      </c>
      <c r="D36" s="22" t="s">
        <v>2713</v>
      </c>
      <c r="E36" s="8" t="str">
        <f>HYPERLINK("http://stat100.ameba.jp/tnk47/ratio20/illustrations/card/ill_26133_wakumusubi03.jpg", "■")</f>
        <v>■</v>
      </c>
      <c r="F36" s="1" t="s">
        <v>1676</v>
      </c>
      <c r="G36" s="1"/>
      <c r="H36" s="25" t="s">
        <v>2816</v>
      </c>
      <c r="I36" s="1" t="s">
        <v>802</v>
      </c>
      <c r="J36" s="1" t="s">
        <v>802</v>
      </c>
      <c r="K36" s="1" t="s">
        <v>802</v>
      </c>
      <c r="L36" s="1" t="s">
        <v>1930</v>
      </c>
      <c r="M36" s="18" t="s">
        <v>2797</v>
      </c>
    </row>
    <row r="37" spans="1:13">
      <c r="A37" s="24">
        <v>34793</v>
      </c>
      <c r="B37" s="25" t="s">
        <v>261</v>
      </c>
      <c r="C37" s="24" t="s">
        <v>67</v>
      </c>
      <c r="D37" s="22" t="s">
        <v>2686</v>
      </c>
      <c r="E37" s="8" t="str">
        <f>HYPERLINK("https://stat100.ameba.jp/tnk47/ratio20/illustrations/card/ill_34793_ebisu03.jpg", "■")</f>
        <v>■</v>
      </c>
      <c r="F37" s="1" t="s">
        <v>1645</v>
      </c>
      <c r="G37" s="1"/>
      <c r="H37" s="25" t="s">
        <v>2817</v>
      </c>
      <c r="I37" s="1"/>
      <c r="J37" s="1"/>
      <c r="K37" s="1"/>
      <c r="L37" s="1" t="s">
        <v>1910</v>
      </c>
      <c r="M37" s="1" t="s">
        <v>2055</v>
      </c>
    </row>
    <row r="38" spans="1:13">
      <c r="A38" s="24">
        <v>45673</v>
      </c>
      <c r="B38" s="24" t="s">
        <v>1268</v>
      </c>
      <c r="C38" s="24" t="s">
        <v>174</v>
      </c>
      <c r="D38" s="22" t="s">
        <v>2714</v>
      </c>
      <c r="E38" s="8" t="str">
        <f>HYPERLINK("https://stat100.ameba.jp/tnk47/ratio20/illustrations/card/ill_45673_shitateruhime03.jpg", "■")</f>
        <v>■</v>
      </c>
      <c r="F38" s="1" t="s">
        <v>1689</v>
      </c>
      <c r="G38" s="1"/>
      <c r="H38" s="1"/>
      <c r="I38" s="1">
        <v>20</v>
      </c>
      <c r="J38" s="1">
        <v>77088</v>
      </c>
      <c r="K38" s="1">
        <v>71672</v>
      </c>
      <c r="L38" s="1" t="s">
        <v>1929</v>
      </c>
      <c r="M38" s="1" t="s">
        <v>945</v>
      </c>
    </row>
    <row r="39" spans="1:13">
      <c r="A39" s="24">
        <v>50983</v>
      </c>
      <c r="B39" s="24" t="s">
        <v>1267</v>
      </c>
      <c r="C39" s="24" t="s">
        <v>67</v>
      </c>
      <c r="D39" s="22" t="s">
        <v>2715</v>
      </c>
      <c r="E39" s="8" t="str">
        <f>HYPERLINK("http://stat100.ameba.jp/tnk47/ratio20/illustrations/card/ill_50983_niniginomikoto03.jpg", "■")</f>
        <v>■</v>
      </c>
      <c r="F39" s="1" t="s">
        <v>1677</v>
      </c>
      <c r="G39" s="1" t="s">
        <v>1166</v>
      </c>
      <c r="H39" s="25" t="s">
        <v>2657</v>
      </c>
      <c r="I39" s="1" t="s">
        <v>802</v>
      </c>
      <c r="J39" s="1" t="s">
        <v>802</v>
      </c>
      <c r="K39" s="1" t="s">
        <v>802</v>
      </c>
      <c r="L39" s="1" t="s">
        <v>1931</v>
      </c>
      <c r="M39" s="18" t="s">
        <v>1751</v>
      </c>
    </row>
    <row r="40" spans="1:13">
      <c r="A40" s="67">
        <v>54553</v>
      </c>
      <c r="B40" s="67" t="s">
        <v>1270</v>
      </c>
      <c r="C40" s="67" t="s">
        <v>1233</v>
      </c>
      <c r="D40" s="67" t="s">
        <v>3061</v>
      </c>
      <c r="E40" s="8" t="str">
        <f>HYPERLINK("https://stat100.ameba.jp/tnk47/ratio20/illustrations/card/ill_54553_ryokanyasakaninomagatama03.jpg", "■")</f>
        <v>■</v>
      </c>
      <c r="F40" s="67" t="s">
        <v>3062</v>
      </c>
      <c r="G40" s="67"/>
      <c r="H40" s="67"/>
      <c r="I40" s="67">
        <v>23</v>
      </c>
      <c r="J40" s="67">
        <v>82422</v>
      </c>
      <c r="K40" s="67">
        <v>88650</v>
      </c>
      <c r="L40" s="67" t="s">
        <v>3063</v>
      </c>
      <c r="M40" s="67" t="s">
        <v>3114</v>
      </c>
    </row>
    <row r="41" spans="1:13">
      <c r="A41" s="67">
        <v>45713</v>
      </c>
      <c r="B41" s="67" t="s">
        <v>1272</v>
      </c>
      <c r="C41" s="67" t="s">
        <v>123</v>
      </c>
      <c r="D41" s="22" t="s">
        <v>3067</v>
      </c>
      <c r="E41" s="8" t="str">
        <f>HYPERLINK("https://stat100.ameba.jp/tnk47/ratio20/illustrations/card/ill_45713_kareinarukurohime03.jpg", "■")</f>
        <v>■</v>
      </c>
      <c r="F41" s="67" t="s">
        <v>3068</v>
      </c>
      <c r="G41" s="67"/>
      <c r="H41" s="67"/>
      <c r="I41" s="67">
        <v>23</v>
      </c>
      <c r="J41" s="67">
        <v>88650</v>
      </c>
      <c r="K41" s="67">
        <v>82422</v>
      </c>
      <c r="L41" s="67" t="s">
        <v>3069</v>
      </c>
      <c r="M41" s="67" t="s">
        <v>3115</v>
      </c>
    </row>
  </sheetData>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63"/>
  <sheetViews>
    <sheetView zoomScale="55" zoomScaleNormal="55" workbookViewId="0">
      <pane ySplit="1" topLeftCell="A2" activePane="bottomLeft" state="frozen"/>
      <selection pane="bottomLeft"/>
    </sheetView>
  </sheetViews>
  <sheetFormatPr defaultColWidth="8.9140625" defaultRowHeight="18"/>
  <cols>
    <col min="1" max="1" width="6.33203125" style="1" customWidth="1"/>
    <col min="2" max="2" width="10.5" style="1" customWidth="1"/>
    <col min="3" max="3" width="5.4140625" style="1" customWidth="1"/>
    <col min="4" max="4" width="3.83203125" style="1" customWidth="1"/>
    <col min="5" max="5" width="25.83203125" style="1" customWidth="1"/>
    <col min="6" max="6" width="3.9140625" style="20" customWidth="1"/>
    <col min="7" max="7" width="26.75" style="1" hidden="1" customWidth="1"/>
    <col min="8" max="13" width="5.75" style="1" hidden="1" customWidth="1"/>
    <col min="14" max="14" width="20.75" style="1" hidden="1" customWidth="1"/>
    <col min="15" max="15" width="4.9140625" style="1" customWidth="1"/>
    <col min="16" max="17" width="7.33203125" style="1" customWidth="1"/>
    <col min="18" max="18" width="12.83203125" style="1" hidden="1" customWidth="1"/>
    <col min="19" max="19" width="68.25" style="1" customWidth="1"/>
    <col min="20" max="16384" width="8.9140625" style="1"/>
  </cols>
  <sheetData>
    <row r="1" spans="1:19">
      <c r="A1" s="11" t="s">
        <v>583</v>
      </c>
      <c r="B1" s="11" t="s">
        <v>0</v>
      </c>
      <c r="C1" s="12" t="s">
        <v>1</v>
      </c>
      <c r="D1" s="12" t="s">
        <v>2096</v>
      </c>
      <c r="E1" s="12" t="s">
        <v>2</v>
      </c>
      <c r="F1" s="12" t="s">
        <v>2126</v>
      </c>
      <c r="G1" s="12" t="s">
        <v>638</v>
      </c>
      <c r="H1" s="12">
        <v>10</v>
      </c>
      <c r="I1" s="12">
        <v>11</v>
      </c>
      <c r="J1" s="12">
        <v>12</v>
      </c>
      <c r="K1" s="12">
        <v>13</v>
      </c>
      <c r="L1" s="12">
        <v>14</v>
      </c>
      <c r="M1" s="12">
        <v>15</v>
      </c>
      <c r="N1" s="12" t="s">
        <v>1040</v>
      </c>
      <c r="O1" s="12" t="s">
        <v>3</v>
      </c>
      <c r="P1" s="12" t="s">
        <v>657</v>
      </c>
      <c r="Q1" s="12" t="s">
        <v>658</v>
      </c>
      <c r="R1" s="12" t="s">
        <v>4</v>
      </c>
      <c r="S1" s="12" t="s">
        <v>2803</v>
      </c>
    </row>
    <row r="3" spans="1:19">
      <c r="P3" s="1" t="s">
        <v>3042</v>
      </c>
    </row>
    <row r="4" spans="1:19">
      <c r="A4" s="28">
        <v>57131</v>
      </c>
      <c r="B4" s="28" t="s">
        <v>10</v>
      </c>
      <c r="C4" s="28" t="s">
        <v>17</v>
      </c>
      <c r="D4" s="28" t="s">
        <v>2097</v>
      </c>
      <c r="E4" s="22" t="s">
        <v>2340</v>
      </c>
      <c r="F4" s="8" t="str">
        <f>HYPERLINK("http://stat100.ameba.jp/tnk47/ratio20/illustrations/card/ill_57131_higashinoadehimengi01.jpg", "■")</f>
        <v>■</v>
      </c>
      <c r="G4" s="1" t="s">
        <v>20</v>
      </c>
      <c r="H4" s="1" t="s">
        <v>1047</v>
      </c>
      <c r="I4" s="1" t="s">
        <v>1046</v>
      </c>
      <c r="K4" s="1" t="s">
        <v>1044</v>
      </c>
      <c r="O4" s="1">
        <v>22</v>
      </c>
      <c r="P4" s="1">
        <v>54120</v>
      </c>
      <c r="Q4" s="1">
        <v>50380</v>
      </c>
      <c r="R4" s="1" t="s">
        <v>21</v>
      </c>
      <c r="S4" s="1" t="s">
        <v>22</v>
      </c>
    </row>
    <row r="5" spans="1:19">
      <c r="A5" s="28">
        <v>57141</v>
      </c>
      <c r="B5" s="28" t="s">
        <v>14</v>
      </c>
      <c r="C5" s="28" t="s">
        <v>17</v>
      </c>
      <c r="D5" s="28" t="s">
        <v>2097</v>
      </c>
      <c r="E5" s="22" t="s">
        <v>2341</v>
      </c>
      <c r="F5" s="8" t="str">
        <f>HYPERLINK("http://stat100.ameba.jp/tnk47/ratio20/illustrations/card/ill_57141_nishinoadehimengi01.jpg", "■")</f>
        <v>■</v>
      </c>
      <c r="G5" s="1" t="s">
        <v>23</v>
      </c>
      <c r="H5" s="1" t="s">
        <v>1047</v>
      </c>
      <c r="I5" s="1" t="s">
        <v>1046</v>
      </c>
      <c r="K5" s="1" t="s">
        <v>1044</v>
      </c>
      <c r="O5" s="1">
        <v>22</v>
      </c>
      <c r="P5" s="1">
        <v>54120</v>
      </c>
      <c r="Q5" s="1">
        <v>50380</v>
      </c>
      <c r="R5" s="1" t="s">
        <v>24</v>
      </c>
      <c r="S5" s="1" t="s">
        <v>25</v>
      </c>
    </row>
    <row r="6" spans="1:19">
      <c r="A6" s="28">
        <v>57153</v>
      </c>
      <c r="B6" s="28" t="s">
        <v>5</v>
      </c>
      <c r="C6" s="28" t="s">
        <v>17</v>
      </c>
      <c r="D6" s="28" t="s">
        <v>2097</v>
      </c>
      <c r="E6" s="22" t="s">
        <v>2342</v>
      </c>
      <c r="F6" s="8" t="str">
        <f>HYPERLINK("http://stat100.ameba.jp/tnk47/ratio20/illustrations/card/ill_57153_kenranadehimengi03.jpg", "■")</f>
        <v>■</v>
      </c>
      <c r="G6" s="1" t="s">
        <v>18</v>
      </c>
      <c r="O6" s="1">
        <v>22</v>
      </c>
      <c r="P6" s="1">
        <v>100488</v>
      </c>
      <c r="Q6" s="1">
        <v>93456</v>
      </c>
      <c r="R6" s="1" t="s">
        <v>19</v>
      </c>
      <c r="S6" s="1" t="s">
        <v>803</v>
      </c>
    </row>
    <row r="7" spans="1:19">
      <c r="A7" s="29">
        <v>57301</v>
      </c>
      <c r="B7" s="29" t="s">
        <v>10</v>
      </c>
      <c r="C7" s="29" t="s">
        <v>26</v>
      </c>
      <c r="D7" s="29" t="s">
        <v>2097</v>
      </c>
      <c r="E7" s="23" t="s">
        <v>2343</v>
      </c>
      <c r="F7" s="9" t="str">
        <f>HYPERLINK("http://stat100.ameba.jp/tnk47/ratio20/illustrations/card/ill_57301_higashinosuibokuengi01.jpg", "■")</f>
        <v>■</v>
      </c>
      <c r="G7" s="7" t="s">
        <v>29</v>
      </c>
      <c r="H7" s="7" t="s">
        <v>1047</v>
      </c>
      <c r="I7" s="7" t="s">
        <v>1046</v>
      </c>
      <c r="J7" s="7"/>
      <c r="K7" s="7" t="s">
        <v>1044</v>
      </c>
      <c r="L7" s="7"/>
      <c r="M7" s="7"/>
      <c r="N7" s="7"/>
      <c r="O7" s="7">
        <v>22</v>
      </c>
      <c r="P7" s="7">
        <v>50380</v>
      </c>
      <c r="Q7" s="7">
        <v>54120</v>
      </c>
      <c r="R7" s="7" t="s">
        <v>30</v>
      </c>
      <c r="S7" s="7" t="s">
        <v>31</v>
      </c>
    </row>
    <row r="8" spans="1:19">
      <c r="A8" s="29">
        <v>57311</v>
      </c>
      <c r="B8" s="29" t="s">
        <v>14</v>
      </c>
      <c r="C8" s="29" t="s">
        <v>26</v>
      </c>
      <c r="D8" s="29" t="s">
        <v>2097</v>
      </c>
      <c r="E8" s="23" t="s">
        <v>2344</v>
      </c>
      <c r="F8" s="9" t="str">
        <f>HYPERLINK("http://stat100.ameba.jp/tnk47/ratio20/illustrations/card/ill_57311_nishinosuibokuengi01.jpg", "■")</f>
        <v>■</v>
      </c>
      <c r="G8" s="7" t="s">
        <v>32</v>
      </c>
      <c r="H8" s="7" t="s">
        <v>1047</v>
      </c>
      <c r="I8" s="7" t="s">
        <v>1046</v>
      </c>
      <c r="J8" s="7"/>
      <c r="K8" s="7" t="s">
        <v>1044</v>
      </c>
      <c r="L8" s="7"/>
      <c r="M8" s="7"/>
      <c r="N8" s="7"/>
      <c r="O8" s="7">
        <v>22</v>
      </c>
      <c r="P8" s="7">
        <v>50380</v>
      </c>
      <c r="Q8" s="7">
        <v>54120</v>
      </c>
      <c r="R8" s="7" t="s">
        <v>33</v>
      </c>
      <c r="S8" s="7" t="s">
        <v>34</v>
      </c>
    </row>
    <row r="9" spans="1:19">
      <c r="A9" s="29">
        <v>57323</v>
      </c>
      <c r="B9" s="29" t="s">
        <v>5</v>
      </c>
      <c r="C9" s="29" t="s">
        <v>26</v>
      </c>
      <c r="D9" s="29" t="s">
        <v>2097</v>
      </c>
      <c r="E9" s="23" t="s">
        <v>2345</v>
      </c>
      <c r="F9" s="9" t="str">
        <f>HYPERLINK("http://stat100.ameba.jp/tnk47/ratio20/illustrations/card/ill_57323_zekkeisuibokuengi03.jpg", "■")</f>
        <v>■</v>
      </c>
      <c r="G9" s="7" t="s">
        <v>27</v>
      </c>
      <c r="H9" s="7"/>
      <c r="I9" s="7"/>
      <c r="J9" s="7"/>
      <c r="K9" s="7"/>
      <c r="L9" s="7"/>
      <c r="M9" s="7"/>
      <c r="N9" s="7"/>
      <c r="O9" s="7">
        <v>22</v>
      </c>
      <c r="P9" s="7">
        <v>93456</v>
      </c>
      <c r="Q9" s="7">
        <v>100488</v>
      </c>
      <c r="R9" s="7" t="s">
        <v>28</v>
      </c>
      <c r="S9" s="7" t="s">
        <v>804</v>
      </c>
    </row>
    <row r="10" spans="1:19">
      <c r="A10" s="28">
        <v>58451</v>
      </c>
      <c r="B10" s="28" t="s">
        <v>10</v>
      </c>
      <c r="C10" s="28" t="s">
        <v>51</v>
      </c>
      <c r="D10" s="28" t="s">
        <v>2097</v>
      </c>
      <c r="E10" s="22" t="s">
        <v>2346</v>
      </c>
      <c r="F10" s="8" t="str">
        <f>HYPERLINK("http://stat100.ameba.jp/tnk47/ratio20/illustrations/card/ill_58451_fuyunodetosupottohigashinihon01.jpg", "■")</f>
        <v>■</v>
      </c>
      <c r="G10" s="1" t="s">
        <v>54</v>
      </c>
      <c r="H10" s="1" t="s">
        <v>1048</v>
      </c>
      <c r="I10" s="1" t="s">
        <v>1046</v>
      </c>
      <c r="K10" s="1" t="s">
        <v>1044</v>
      </c>
      <c r="O10" s="1">
        <v>22</v>
      </c>
      <c r="P10" s="1">
        <v>50380</v>
      </c>
      <c r="Q10" s="1">
        <v>54120</v>
      </c>
      <c r="R10" s="1" t="s">
        <v>55</v>
      </c>
      <c r="S10" s="1" t="s">
        <v>56</v>
      </c>
    </row>
    <row r="11" spans="1:19">
      <c r="A11" s="28">
        <v>58461</v>
      </c>
      <c r="B11" s="28" t="s">
        <v>14</v>
      </c>
      <c r="C11" s="28" t="s">
        <v>51</v>
      </c>
      <c r="D11" s="28" t="s">
        <v>2097</v>
      </c>
      <c r="E11" s="22" t="s">
        <v>2347</v>
      </c>
      <c r="F11" s="8" t="str">
        <f>HYPERLINK("http://stat100.ameba.jp/tnk47/ratio20/illustrations/card/ill_58461_fuyunodetosupottonishinihon01.jpg", "■")</f>
        <v>■</v>
      </c>
      <c r="G11" s="1" t="s">
        <v>57</v>
      </c>
      <c r="H11" s="1" t="s">
        <v>1048</v>
      </c>
      <c r="I11" s="1" t="s">
        <v>1046</v>
      </c>
      <c r="K11" s="1" t="s">
        <v>1044</v>
      </c>
      <c r="O11" s="1">
        <v>22</v>
      </c>
      <c r="P11" s="1">
        <v>50380</v>
      </c>
      <c r="Q11" s="1">
        <v>54120</v>
      </c>
      <c r="R11" s="1" t="s">
        <v>58</v>
      </c>
      <c r="S11" s="1" t="s">
        <v>56</v>
      </c>
    </row>
    <row r="12" spans="1:19">
      <c r="A12" s="28">
        <v>58473</v>
      </c>
      <c r="B12" s="28" t="s">
        <v>5</v>
      </c>
      <c r="C12" s="28" t="s">
        <v>51</v>
      </c>
      <c r="D12" s="28" t="s">
        <v>2097</v>
      </c>
      <c r="E12" s="22" t="s">
        <v>2348</v>
      </c>
      <c r="F12" s="8" t="str">
        <f>HYPERLINK("http://stat100.ameba.jp/tnk47/ratio20/illustrations/card/ill_58473_fuyunodetosupottotokushu03.jpg", "■")</f>
        <v>■</v>
      </c>
      <c r="G12" s="1" t="s">
        <v>52</v>
      </c>
      <c r="O12" s="1">
        <v>22</v>
      </c>
      <c r="P12" s="1">
        <v>93456</v>
      </c>
      <c r="Q12" s="1">
        <v>100488</v>
      </c>
      <c r="R12" s="1" t="s">
        <v>53</v>
      </c>
      <c r="S12" s="1" t="s">
        <v>805</v>
      </c>
    </row>
    <row r="13" spans="1:19">
      <c r="A13" s="29">
        <v>60321</v>
      </c>
      <c r="B13" s="29" t="s">
        <v>37</v>
      </c>
      <c r="C13" s="29" t="s">
        <v>59</v>
      </c>
      <c r="D13" s="29" t="s">
        <v>2097</v>
      </c>
      <c r="E13" s="23" t="s">
        <v>2349</v>
      </c>
      <c r="F13" s="9" t="str">
        <f>HYPERLINK("http://stat100.ameba.jp/tnk47/ratio20/illustrations/card/ill_60321_higashinojinroengi01.jpg", "■")</f>
        <v>■</v>
      </c>
      <c r="G13" s="7" t="s">
        <v>62</v>
      </c>
      <c r="H13" s="7" t="s">
        <v>1048</v>
      </c>
      <c r="I13" s="7" t="s">
        <v>1046</v>
      </c>
      <c r="J13" s="7"/>
      <c r="K13" s="7" t="s">
        <v>1044</v>
      </c>
      <c r="L13" s="7"/>
      <c r="M13" s="7"/>
      <c r="N13" s="7"/>
      <c r="O13" s="7">
        <v>22</v>
      </c>
      <c r="P13" s="7">
        <v>54120</v>
      </c>
      <c r="Q13" s="7">
        <v>50380</v>
      </c>
      <c r="R13" s="7" t="s">
        <v>63</v>
      </c>
      <c r="S13" s="7" t="s">
        <v>64</v>
      </c>
    </row>
    <row r="14" spans="1:19">
      <c r="A14" s="29">
        <v>60331</v>
      </c>
      <c r="B14" s="29" t="s">
        <v>41</v>
      </c>
      <c r="C14" s="29" t="s">
        <v>59</v>
      </c>
      <c r="D14" s="29" t="s">
        <v>2097</v>
      </c>
      <c r="E14" s="23" t="s">
        <v>2350</v>
      </c>
      <c r="F14" s="9" t="str">
        <f>HYPERLINK("http://stat100.ameba.jp/tnk47/ratio20/illustrations/card/ill_60331_nishinojinroengi01.jpg", "■")</f>
        <v>■</v>
      </c>
      <c r="G14" s="7" t="s">
        <v>65</v>
      </c>
      <c r="H14" s="7" t="s">
        <v>1048</v>
      </c>
      <c r="I14" s="7" t="s">
        <v>1046</v>
      </c>
      <c r="J14" s="7"/>
      <c r="K14" s="7" t="s">
        <v>1044</v>
      </c>
      <c r="L14" s="7"/>
      <c r="M14" s="7"/>
      <c r="N14" s="7"/>
      <c r="O14" s="64">
        <v>22</v>
      </c>
      <c r="P14" s="64">
        <v>54120</v>
      </c>
      <c r="Q14" s="64">
        <v>50380</v>
      </c>
      <c r="R14" s="7" t="s">
        <v>66</v>
      </c>
      <c r="S14" s="7" t="s">
        <v>64</v>
      </c>
    </row>
    <row r="15" spans="1:19">
      <c r="A15" s="29">
        <v>60343</v>
      </c>
      <c r="B15" s="29" t="s">
        <v>5</v>
      </c>
      <c r="C15" s="29" t="s">
        <v>59</v>
      </c>
      <c r="D15" s="29" t="s">
        <v>2097</v>
      </c>
      <c r="E15" s="23" t="s">
        <v>2351</v>
      </c>
      <c r="F15" s="9" t="str">
        <f>HYPERLINK("http://stat100.ameba.jp/tnk47/ratio20/illustrations/card/ill_60343_bakumatsujinroengi03.jpg", "■")</f>
        <v>■</v>
      </c>
      <c r="G15" s="7" t="s">
        <v>60</v>
      </c>
      <c r="H15" s="7"/>
      <c r="I15" s="7"/>
      <c r="J15" s="7"/>
      <c r="K15" s="7"/>
      <c r="L15" s="7"/>
      <c r="M15" s="7"/>
      <c r="N15" s="7" t="s">
        <v>3001</v>
      </c>
      <c r="O15" s="7">
        <v>22</v>
      </c>
      <c r="P15" s="7" t="s">
        <v>3002</v>
      </c>
      <c r="Q15" s="7" t="s">
        <v>3003</v>
      </c>
      <c r="R15" s="7" t="s">
        <v>61</v>
      </c>
      <c r="S15" s="7" t="s">
        <v>806</v>
      </c>
    </row>
    <row r="16" spans="1:19">
      <c r="A16" s="28">
        <v>60531</v>
      </c>
      <c r="B16" s="28" t="s">
        <v>37</v>
      </c>
      <c r="C16" s="67" t="s">
        <v>6</v>
      </c>
      <c r="D16" s="28" t="s">
        <v>2097</v>
      </c>
      <c r="E16" s="22" t="s">
        <v>2352</v>
      </c>
      <c r="F16" s="8" t="str">
        <f>HYPERLINK("http://stat100.ameba.jp/tnk47/ratio20/illustrations/card/ill_60531_higashinodomburimeshiengi01.jpg", "■")</f>
        <v>■</v>
      </c>
      <c r="G16" s="1" t="s">
        <v>38</v>
      </c>
      <c r="I16" s="1" t="s">
        <v>1050</v>
      </c>
      <c r="K16" s="1" t="s">
        <v>1045</v>
      </c>
      <c r="N16" s="1" t="s">
        <v>1042</v>
      </c>
      <c r="O16" s="1">
        <v>22</v>
      </c>
      <c r="P16" s="1">
        <v>54120</v>
      </c>
      <c r="Q16" s="1">
        <v>50380</v>
      </c>
      <c r="R16" s="1" t="s">
        <v>39</v>
      </c>
      <c r="S16" s="1" t="s">
        <v>40</v>
      </c>
    </row>
    <row r="17" spans="1:19">
      <c r="A17" s="28">
        <v>60541</v>
      </c>
      <c r="B17" s="28" t="s">
        <v>41</v>
      </c>
      <c r="C17" s="28" t="s">
        <v>6</v>
      </c>
      <c r="D17" s="28" t="s">
        <v>2097</v>
      </c>
      <c r="E17" s="22" t="s">
        <v>2353</v>
      </c>
      <c r="F17" s="8" t="str">
        <f>HYPERLINK("http://stat100.ameba.jp/tnk47/ratio20/illustrations/card/ill_60541_nishinodomburimeshiengi01.jpg", "■")</f>
        <v>■</v>
      </c>
      <c r="G17" s="1" t="s">
        <v>42</v>
      </c>
      <c r="I17" s="1" t="s">
        <v>1050</v>
      </c>
      <c r="K17" s="1" t="s">
        <v>1044</v>
      </c>
      <c r="N17" s="1" t="s">
        <v>1042</v>
      </c>
      <c r="O17" s="1">
        <v>22</v>
      </c>
      <c r="P17" s="1">
        <v>54120</v>
      </c>
      <c r="Q17" s="1">
        <v>50380</v>
      </c>
      <c r="R17" s="1" t="s">
        <v>43</v>
      </c>
      <c r="S17" s="1" t="s">
        <v>40</v>
      </c>
    </row>
    <row r="18" spans="1:19">
      <c r="A18" s="28">
        <v>60553</v>
      </c>
      <c r="B18" s="28" t="s">
        <v>5</v>
      </c>
      <c r="C18" s="28" t="s">
        <v>6</v>
      </c>
      <c r="D18" s="28" t="s">
        <v>2097</v>
      </c>
      <c r="E18" s="22" t="s">
        <v>2354</v>
      </c>
      <c r="F18" s="8" t="str">
        <f>HYPERLINK("http://stat100.ameba.jp/tnk47/ratio20/illustrations/card/ill_60553_bimidomburimeshiengi03.jpg", "■")</f>
        <v>■</v>
      </c>
      <c r="G18" s="1" t="s">
        <v>35</v>
      </c>
      <c r="O18" s="1">
        <v>22</v>
      </c>
      <c r="P18" s="1">
        <v>100488</v>
      </c>
      <c r="Q18" s="1">
        <v>93456</v>
      </c>
      <c r="R18" s="1" t="s">
        <v>36</v>
      </c>
      <c r="S18" s="1" t="s">
        <v>807</v>
      </c>
    </row>
    <row r="19" spans="1:19">
      <c r="A19" s="29">
        <v>61491</v>
      </c>
      <c r="B19" s="29" t="s">
        <v>37</v>
      </c>
      <c r="C19" s="29" t="s">
        <v>44</v>
      </c>
      <c r="D19" s="29" t="s">
        <v>2097</v>
      </c>
      <c r="E19" s="23" t="s">
        <v>2355</v>
      </c>
      <c r="F19" s="9" t="str">
        <f>HYPERLINK("http://stat100.ameba.jp/tnk47/ratio20/illustrations/card/ill_61491_higashinobungeiengi01.jpg", "■")</f>
        <v>■</v>
      </c>
      <c r="G19" s="7" t="s">
        <v>47</v>
      </c>
      <c r="H19" s="7"/>
      <c r="I19" s="7" t="s">
        <v>1053</v>
      </c>
      <c r="J19" s="7"/>
      <c r="K19" s="7" t="s">
        <v>1044</v>
      </c>
      <c r="L19" s="7" t="s">
        <v>1056</v>
      </c>
      <c r="M19" s="7" t="s">
        <v>1057</v>
      </c>
      <c r="N19" s="7"/>
      <c r="O19" s="7">
        <v>22</v>
      </c>
      <c r="P19" s="7">
        <v>59554</v>
      </c>
      <c r="Q19" s="7">
        <v>63976</v>
      </c>
      <c r="R19" s="7" t="s">
        <v>48</v>
      </c>
      <c r="S19" s="7" t="s">
        <v>808</v>
      </c>
    </row>
    <row r="20" spans="1:19">
      <c r="A20" s="29">
        <v>61501</v>
      </c>
      <c r="B20" s="29" t="s">
        <v>41</v>
      </c>
      <c r="C20" s="29" t="s">
        <v>44</v>
      </c>
      <c r="D20" s="29" t="s">
        <v>2097</v>
      </c>
      <c r="E20" s="23" t="s">
        <v>2356</v>
      </c>
      <c r="F20" s="9" t="str">
        <f>HYPERLINK("http://stat100.ameba.jp/tnk47/ratio20/illustrations/card/ill_61501_nishinobungeiengi01.jpg", "■")</f>
        <v>■</v>
      </c>
      <c r="G20" s="7" t="s">
        <v>49</v>
      </c>
      <c r="H20" s="7"/>
      <c r="I20" s="7" t="s">
        <v>1054</v>
      </c>
      <c r="J20" s="7"/>
      <c r="K20" s="7" t="s">
        <v>1044</v>
      </c>
      <c r="L20" s="7" t="s">
        <v>1056</v>
      </c>
      <c r="M20" s="7" t="s">
        <v>1057</v>
      </c>
      <c r="N20" s="7"/>
      <c r="O20" s="7">
        <v>22</v>
      </c>
      <c r="P20" s="7">
        <v>59554</v>
      </c>
      <c r="Q20" s="7">
        <v>63976</v>
      </c>
      <c r="R20" s="7" t="s">
        <v>50</v>
      </c>
      <c r="S20" s="7" t="s">
        <v>808</v>
      </c>
    </row>
    <row r="21" spans="1:19">
      <c r="A21" s="29">
        <v>61513</v>
      </c>
      <c r="B21" s="29" t="s">
        <v>5</v>
      </c>
      <c r="C21" s="29" t="s">
        <v>44</v>
      </c>
      <c r="D21" s="29" t="s">
        <v>2097</v>
      </c>
      <c r="E21" s="23" t="s">
        <v>2357</v>
      </c>
      <c r="F21" s="9" t="str">
        <f>HYPERLINK("http://stat100.ameba.jp/tnk47/ratio20/illustrations/card/ill_61513_kessakubungeiengi03.jpg", "■")</f>
        <v>■</v>
      </c>
      <c r="G21" s="7" t="s">
        <v>45</v>
      </c>
      <c r="H21" s="7"/>
      <c r="I21" s="7"/>
      <c r="J21" s="7"/>
      <c r="K21" s="7"/>
      <c r="L21" s="7"/>
      <c r="M21" s="7"/>
      <c r="N21" s="7" t="s">
        <v>1041</v>
      </c>
      <c r="O21" s="7">
        <v>22</v>
      </c>
      <c r="P21" s="7">
        <v>110376</v>
      </c>
      <c r="Q21" s="7">
        <v>118552</v>
      </c>
      <c r="R21" s="7" t="s">
        <v>46</v>
      </c>
      <c r="S21" s="7" t="s">
        <v>809</v>
      </c>
    </row>
    <row r="22" spans="1:19">
      <c r="A22" s="28">
        <v>62391</v>
      </c>
      <c r="B22" s="28" t="s">
        <v>37</v>
      </c>
      <c r="C22" s="28" t="s">
        <v>74</v>
      </c>
      <c r="D22" s="28" t="s">
        <v>2097</v>
      </c>
      <c r="E22" s="22" t="s">
        <v>2358</v>
      </c>
      <c r="F22" s="8" t="str">
        <f>HYPERLINK("http://stat100.ameba.jp/tnk47/ratio20/illustrations/card/ill_62391_higashinojokigaiengi01.jpg", "■")</f>
        <v>■</v>
      </c>
      <c r="G22" s="1" t="s">
        <v>77</v>
      </c>
      <c r="H22" s="1" t="s">
        <v>1052</v>
      </c>
      <c r="I22" s="1" t="s">
        <v>1049</v>
      </c>
      <c r="K22" s="1" t="s">
        <v>1051</v>
      </c>
      <c r="N22" s="1" t="s">
        <v>1042</v>
      </c>
      <c r="O22" s="1">
        <v>22</v>
      </c>
      <c r="P22" s="1">
        <v>58498</v>
      </c>
      <c r="Q22" s="1">
        <v>54472</v>
      </c>
      <c r="R22" s="1" t="s">
        <v>78</v>
      </c>
      <c r="S22" s="1" t="s">
        <v>810</v>
      </c>
    </row>
    <row r="23" spans="1:19">
      <c r="A23" s="28">
        <v>62401</v>
      </c>
      <c r="B23" s="28" t="s">
        <v>41</v>
      </c>
      <c r="C23" s="28" t="s">
        <v>74</v>
      </c>
      <c r="D23" s="28" t="s">
        <v>2097</v>
      </c>
      <c r="E23" s="22" t="s">
        <v>2359</v>
      </c>
      <c r="F23" s="8" t="str">
        <f>HYPERLINK("http://stat100.ameba.jp/tnk47/ratio20/illustrations/card/ill_62401_nishinojokigaiengi01.jpg", "■")</f>
        <v>■</v>
      </c>
      <c r="G23" s="1" t="s">
        <v>79</v>
      </c>
      <c r="H23" s="1" t="s">
        <v>1052</v>
      </c>
      <c r="I23" s="1" t="s">
        <v>1049</v>
      </c>
      <c r="K23" s="1" t="s">
        <v>1051</v>
      </c>
      <c r="N23" s="1" t="s">
        <v>1042</v>
      </c>
      <c r="O23" s="65">
        <v>22</v>
      </c>
      <c r="P23" s="65">
        <v>58498</v>
      </c>
      <c r="Q23" s="65">
        <v>54472</v>
      </c>
      <c r="R23" s="1" t="s">
        <v>80</v>
      </c>
      <c r="S23" s="1" t="s">
        <v>810</v>
      </c>
    </row>
    <row r="24" spans="1:19">
      <c r="A24" s="28">
        <v>62413</v>
      </c>
      <c r="B24" s="28" t="s">
        <v>5</v>
      </c>
      <c r="C24" s="28" t="s">
        <v>74</v>
      </c>
      <c r="D24" s="28" t="s">
        <v>2097</v>
      </c>
      <c r="E24" s="22" t="s">
        <v>2360</v>
      </c>
      <c r="F24" s="8" t="str">
        <f>HYPERLINK("http://stat100.ameba.jp/tnk47/ratio20/illustrations/card/ill_62413_kisojokigaiengi03.jpg", "■")</f>
        <v>■</v>
      </c>
      <c r="G24" s="1" t="s">
        <v>75</v>
      </c>
      <c r="N24" s="1" t="s">
        <v>3011</v>
      </c>
      <c r="O24" s="1">
        <v>22</v>
      </c>
      <c r="P24" s="1" t="s">
        <v>3013</v>
      </c>
      <c r="Q24" s="1" t="s">
        <v>3012</v>
      </c>
      <c r="R24" s="1" t="s">
        <v>76</v>
      </c>
      <c r="S24" s="1" t="s">
        <v>811</v>
      </c>
    </row>
    <row r="25" spans="1:19">
      <c r="A25" s="29">
        <v>66901</v>
      </c>
      <c r="B25" s="29" t="s">
        <v>37</v>
      </c>
      <c r="C25" s="29" t="s">
        <v>67</v>
      </c>
      <c r="D25" s="29" t="s">
        <v>2097</v>
      </c>
      <c r="E25" s="23" t="s">
        <v>2361</v>
      </c>
      <c r="F25" s="9" t="str">
        <f>HYPERLINK("http://stat100.ameba.jp/tnk47/ratio20/illustrations/card/ill_66901_higashinoreichoengi01.jpg", "■")</f>
        <v>■</v>
      </c>
      <c r="G25" s="7" t="s">
        <v>70</v>
      </c>
      <c r="H25" s="7" t="s">
        <v>1052</v>
      </c>
      <c r="I25" s="7" t="s">
        <v>1049</v>
      </c>
      <c r="J25" s="7"/>
      <c r="K25" s="7" t="s">
        <v>1051</v>
      </c>
      <c r="L25" s="7"/>
      <c r="M25" s="7"/>
      <c r="N25" s="7"/>
      <c r="O25" s="7">
        <v>22</v>
      </c>
      <c r="P25" s="7">
        <v>53306</v>
      </c>
      <c r="Q25" s="7">
        <v>57266</v>
      </c>
      <c r="R25" s="7" t="s">
        <v>71</v>
      </c>
      <c r="S25" s="7" t="s">
        <v>812</v>
      </c>
    </row>
    <row r="26" spans="1:19">
      <c r="A26" s="29">
        <v>66911</v>
      </c>
      <c r="B26" s="29" t="s">
        <v>41</v>
      </c>
      <c r="C26" s="29" t="s">
        <v>67</v>
      </c>
      <c r="D26" s="29" t="s">
        <v>2097</v>
      </c>
      <c r="E26" s="23" t="s">
        <v>2362</v>
      </c>
      <c r="F26" s="9" t="str">
        <f>HYPERLINK("http://stat100.ameba.jp/tnk47/ratio20/illustrations/card/ill_66911_nishinoreichoengi01.jpg", "■")</f>
        <v>■</v>
      </c>
      <c r="G26" s="7" t="s">
        <v>72</v>
      </c>
      <c r="H26" s="7" t="s">
        <v>1052</v>
      </c>
      <c r="I26" s="7" t="s">
        <v>1049</v>
      </c>
      <c r="J26" s="7"/>
      <c r="K26" s="7" t="s">
        <v>1051</v>
      </c>
      <c r="L26" s="7"/>
      <c r="M26" s="7"/>
      <c r="N26" s="7"/>
      <c r="O26" s="7">
        <v>22</v>
      </c>
      <c r="P26" s="7">
        <v>53306</v>
      </c>
      <c r="Q26" s="7">
        <v>57266</v>
      </c>
      <c r="R26" s="7" t="s">
        <v>73</v>
      </c>
      <c r="S26" s="7" t="s">
        <v>813</v>
      </c>
    </row>
    <row r="27" spans="1:19">
      <c r="A27" s="29">
        <v>66923</v>
      </c>
      <c r="B27" s="29" t="s">
        <v>5</v>
      </c>
      <c r="C27" s="29" t="s">
        <v>67</v>
      </c>
      <c r="D27" s="29" t="s">
        <v>2097</v>
      </c>
      <c r="E27" s="23" t="s">
        <v>2363</v>
      </c>
      <c r="F27" s="9" t="str">
        <f>HYPERLINK("http://stat100.ameba.jp/tnk47/ratio20/illustrations/card/ill_66923_tembureichoengi03.jpg", "■")</f>
        <v>■</v>
      </c>
      <c r="G27" s="7" t="s">
        <v>68</v>
      </c>
      <c r="H27" s="7"/>
      <c r="I27" s="7"/>
      <c r="J27" s="7"/>
      <c r="K27" s="7"/>
      <c r="L27" s="7"/>
      <c r="M27" s="7"/>
      <c r="N27" s="7"/>
      <c r="O27" s="7">
        <v>22</v>
      </c>
      <c r="P27" s="7">
        <v>98810</v>
      </c>
      <c r="Q27" s="7">
        <v>106122</v>
      </c>
      <c r="R27" s="7" t="s">
        <v>69</v>
      </c>
      <c r="S27" s="7" t="s">
        <v>800</v>
      </c>
    </row>
    <row r="28" spans="1:19">
      <c r="A28" s="28">
        <v>67661</v>
      </c>
      <c r="B28" s="28" t="s">
        <v>37</v>
      </c>
      <c r="C28" s="28" t="s">
        <v>67</v>
      </c>
      <c r="D28" s="28" t="s">
        <v>2097</v>
      </c>
      <c r="E28" s="22" t="s">
        <v>2364</v>
      </c>
      <c r="F28" s="8" t="str">
        <f>HYPERLINK("http://stat100.ameba.jp/tnk47/ratio20/illustrations/card/ill_67661_higashinogekkoengi01.jpg", "■")</f>
        <v>■</v>
      </c>
      <c r="G28" s="1" t="s">
        <v>83</v>
      </c>
      <c r="I28" s="1" t="s">
        <v>1059</v>
      </c>
      <c r="K28" s="1" t="s">
        <v>1044</v>
      </c>
      <c r="L28" s="1" t="s">
        <v>1058</v>
      </c>
      <c r="O28" s="1">
        <v>22</v>
      </c>
      <c r="P28" s="1">
        <v>57266</v>
      </c>
      <c r="Q28" s="1">
        <v>53306</v>
      </c>
      <c r="R28" s="1" t="s">
        <v>84</v>
      </c>
      <c r="S28" s="1" t="s">
        <v>814</v>
      </c>
    </row>
    <row r="29" spans="1:19">
      <c r="A29" s="28">
        <v>67671</v>
      </c>
      <c r="B29" s="28" t="s">
        <v>41</v>
      </c>
      <c r="C29" s="28" t="s">
        <v>67</v>
      </c>
      <c r="D29" s="28" t="s">
        <v>2097</v>
      </c>
      <c r="E29" s="22" t="s">
        <v>2365</v>
      </c>
      <c r="F29" s="8" t="str">
        <f>HYPERLINK("http://stat100.ameba.jp/tnk47/ratio20/illustrations/card/ill_67671_nishinogekkoengi01.jpg", "■")</f>
        <v>■</v>
      </c>
      <c r="G29" s="1" t="s">
        <v>85</v>
      </c>
      <c r="I29" s="1" t="s">
        <v>1059</v>
      </c>
      <c r="K29" s="1" t="s">
        <v>1044</v>
      </c>
      <c r="L29" s="1" t="s">
        <v>1058</v>
      </c>
      <c r="O29" s="1">
        <v>22</v>
      </c>
      <c r="P29" s="1">
        <v>57266</v>
      </c>
      <c r="Q29" s="1">
        <v>53306</v>
      </c>
      <c r="R29" s="1" t="s">
        <v>86</v>
      </c>
      <c r="S29" s="1" t="s">
        <v>815</v>
      </c>
    </row>
    <row r="30" spans="1:19">
      <c r="A30" s="28">
        <v>67683</v>
      </c>
      <c r="B30" s="28" t="s">
        <v>5</v>
      </c>
      <c r="C30" s="28" t="s">
        <v>67</v>
      </c>
      <c r="D30" s="28" t="s">
        <v>2097</v>
      </c>
      <c r="E30" s="22" t="s">
        <v>2366</v>
      </c>
      <c r="F30" s="8" t="str">
        <f>HYPERLINK("http://stat100.ameba.jp/tnk47/ratio20/illustrations/card/ill_67683_seichogekkoengi03.jpg", "■")</f>
        <v>■</v>
      </c>
      <c r="G30" s="1" t="s">
        <v>81</v>
      </c>
      <c r="N30" s="1" t="s">
        <v>1043</v>
      </c>
      <c r="O30" s="1">
        <v>22</v>
      </c>
      <c r="P30" s="1">
        <v>106122</v>
      </c>
      <c r="Q30" s="1">
        <v>98810</v>
      </c>
      <c r="R30" s="1" t="s">
        <v>82</v>
      </c>
      <c r="S30" s="1" t="s">
        <v>816</v>
      </c>
    </row>
    <row r="31" spans="1:19">
      <c r="A31" s="29">
        <v>67691</v>
      </c>
      <c r="B31" s="29" t="s">
        <v>37</v>
      </c>
      <c r="C31" s="29" t="s">
        <v>87</v>
      </c>
      <c r="D31" s="29" t="s">
        <v>2097</v>
      </c>
      <c r="E31" s="23" t="s">
        <v>2367</v>
      </c>
      <c r="F31" s="9" t="str">
        <f>HYPERLINK("http://stat100.ameba.jp/tnk47/ratio20/illustrations/card/ill_67691_higashinoshotenengi01.jpg", "■")</f>
        <v>■</v>
      </c>
      <c r="G31" s="7" t="s">
        <v>90</v>
      </c>
      <c r="H31" s="7"/>
      <c r="I31" s="7" t="s">
        <v>1059</v>
      </c>
      <c r="J31" s="7"/>
      <c r="K31" s="7" t="s">
        <v>1045</v>
      </c>
      <c r="L31" s="7" t="s">
        <v>1058</v>
      </c>
      <c r="M31" s="7"/>
      <c r="N31" s="7"/>
      <c r="O31" s="7">
        <v>22</v>
      </c>
      <c r="P31" s="7">
        <v>51040</v>
      </c>
      <c r="Q31" s="7">
        <v>54846</v>
      </c>
      <c r="R31" s="7" t="s">
        <v>91</v>
      </c>
      <c r="S31" s="7" t="s">
        <v>92</v>
      </c>
    </row>
    <row r="32" spans="1:19">
      <c r="A32" s="29">
        <v>67701</v>
      </c>
      <c r="B32" s="29" t="s">
        <v>41</v>
      </c>
      <c r="C32" s="29" t="s">
        <v>87</v>
      </c>
      <c r="D32" s="29" t="s">
        <v>2097</v>
      </c>
      <c r="E32" s="23" t="s">
        <v>2368</v>
      </c>
      <c r="F32" s="9" t="str">
        <f>HYPERLINK("http://stat100.ameba.jp/tnk47/ratio20/illustrations/card/ill_67701_nishinoshotenengi01.jpg", "■")</f>
        <v>■</v>
      </c>
      <c r="G32" s="7" t="s">
        <v>93</v>
      </c>
      <c r="H32" s="7"/>
      <c r="I32" s="7" t="s">
        <v>1059</v>
      </c>
      <c r="J32" s="7"/>
      <c r="K32" s="7" t="s">
        <v>1044</v>
      </c>
      <c r="L32" s="7" t="s">
        <v>1058</v>
      </c>
      <c r="M32" s="7"/>
      <c r="N32" s="7"/>
      <c r="O32" s="7">
        <v>22</v>
      </c>
      <c r="P32" s="7">
        <v>51040</v>
      </c>
      <c r="Q32" s="7">
        <v>54846</v>
      </c>
      <c r="R32" s="7" t="s">
        <v>94</v>
      </c>
      <c r="S32" s="7" t="s">
        <v>92</v>
      </c>
    </row>
    <row r="33" spans="1:19">
      <c r="A33" s="29">
        <v>67713</v>
      </c>
      <c r="B33" s="29" t="s">
        <v>5</v>
      </c>
      <c r="C33" s="29" t="s">
        <v>87</v>
      </c>
      <c r="D33" s="29" t="s">
        <v>2097</v>
      </c>
      <c r="E33" s="23" t="s">
        <v>2369</v>
      </c>
      <c r="F33" s="9" t="str">
        <f>HYPERLINK("http://stat100.ameba.jp/tnk47/ratio20/illustrations/card/ill_67713_kaienshotenengi03.jpg", "■")</f>
        <v>■</v>
      </c>
      <c r="G33" s="7" t="s">
        <v>88</v>
      </c>
      <c r="H33" s="7"/>
      <c r="I33" s="7"/>
      <c r="J33" s="7"/>
      <c r="K33" s="7"/>
      <c r="L33" s="7"/>
      <c r="M33" s="7"/>
      <c r="N33" s="7"/>
      <c r="O33" s="7">
        <v>22</v>
      </c>
      <c r="P33" s="7">
        <v>94828</v>
      </c>
      <c r="Q33" s="7">
        <v>102056</v>
      </c>
      <c r="R33" s="7" t="s">
        <v>89</v>
      </c>
      <c r="S33" s="7" t="s">
        <v>817</v>
      </c>
    </row>
    <row r="34" spans="1:19">
      <c r="A34" s="28">
        <v>69251</v>
      </c>
      <c r="B34" s="28" t="s">
        <v>596</v>
      </c>
      <c r="C34" s="28" t="s">
        <v>489</v>
      </c>
      <c r="D34" s="28" t="s">
        <v>2097</v>
      </c>
      <c r="E34" s="22" t="s">
        <v>2370</v>
      </c>
      <c r="F34" s="8" t="str">
        <f>HYPERLINK("https://stat100.ameba.jp/tnk47/ratio20/illustrations/card/ill_69251_higashinobusoengi01.jpg", "■")</f>
        <v>■</v>
      </c>
      <c r="G34" s="1" t="s">
        <v>597</v>
      </c>
      <c r="O34" s="14">
        <v>22</v>
      </c>
      <c r="P34" s="14">
        <v>78100</v>
      </c>
      <c r="Q34" s="14">
        <v>72336</v>
      </c>
      <c r="R34" s="1" t="s">
        <v>602</v>
      </c>
      <c r="S34" s="1" t="s">
        <v>603</v>
      </c>
    </row>
    <row r="35" spans="1:19">
      <c r="A35" s="28">
        <v>69261</v>
      </c>
      <c r="B35" s="28" t="s">
        <v>598</v>
      </c>
      <c r="C35" s="28" t="s">
        <v>489</v>
      </c>
      <c r="D35" s="28" t="s">
        <v>2097</v>
      </c>
      <c r="E35" s="22" t="s">
        <v>2371</v>
      </c>
      <c r="F35" s="8" t="str">
        <f>HYPERLINK("https://stat100.ameba.jp/tnk47/ratio20/illustrations/card/ill_69261_nishinobusoengi01.jpg", "■")</f>
        <v>■</v>
      </c>
      <c r="G35" s="1" t="s">
        <v>599</v>
      </c>
      <c r="O35" s="14">
        <v>22</v>
      </c>
      <c r="P35" s="14">
        <v>78100</v>
      </c>
      <c r="Q35" s="14">
        <v>72336</v>
      </c>
      <c r="R35" s="1" t="s">
        <v>604</v>
      </c>
      <c r="S35" s="1" t="s">
        <v>603</v>
      </c>
    </row>
    <row r="36" spans="1:19">
      <c r="A36" s="28">
        <v>69273</v>
      </c>
      <c r="B36" s="28" t="s">
        <v>600</v>
      </c>
      <c r="C36" s="28" t="s">
        <v>489</v>
      </c>
      <c r="D36" s="28" t="s">
        <v>2097</v>
      </c>
      <c r="E36" s="22" t="s">
        <v>2372</v>
      </c>
      <c r="F36" s="8" t="str">
        <f>HYPERLINK("https://stat100.ameba.jp/tnk47/ratio20/illustrations/card/ill_69273_rengekibusoengi03.jpg", "■")</f>
        <v>■</v>
      </c>
      <c r="G36" s="1" t="s">
        <v>601</v>
      </c>
      <c r="O36" s="1">
        <v>22</v>
      </c>
      <c r="P36" s="1">
        <v>137654</v>
      </c>
      <c r="Q36" s="1">
        <v>127942</v>
      </c>
      <c r="R36" s="1" t="s">
        <v>605</v>
      </c>
      <c r="S36" s="1" t="s">
        <v>606</v>
      </c>
    </row>
    <row r="37" spans="1:19">
      <c r="A37" s="29">
        <v>70101</v>
      </c>
      <c r="B37" s="29" t="s">
        <v>37</v>
      </c>
      <c r="C37" s="29" t="s">
        <v>26</v>
      </c>
      <c r="D37" s="29" t="s">
        <v>2097</v>
      </c>
      <c r="E37" s="23" t="s">
        <v>2373</v>
      </c>
      <c r="F37" s="9" t="str">
        <f>HYPERLINK("http://stat100.ameba.jp/tnk47/ratio20/illustrations/card/ill_70101_higashinosomeiengi01.jpg", "■")</f>
        <v>■</v>
      </c>
      <c r="G37" s="7" t="s">
        <v>106</v>
      </c>
      <c r="H37" s="7"/>
      <c r="I37" s="7"/>
      <c r="J37" s="7"/>
      <c r="K37" s="7"/>
      <c r="L37" s="7"/>
      <c r="M37" s="7"/>
      <c r="N37" s="7"/>
      <c r="O37" s="7">
        <v>22</v>
      </c>
      <c r="P37" s="7">
        <v>53856</v>
      </c>
      <c r="Q37" s="7">
        <v>49940</v>
      </c>
      <c r="R37" s="7" t="s">
        <v>107</v>
      </c>
      <c r="S37" s="7" t="s">
        <v>108</v>
      </c>
    </row>
    <row r="38" spans="1:19">
      <c r="A38" s="29">
        <v>70111</v>
      </c>
      <c r="B38" s="29" t="s">
        <v>41</v>
      </c>
      <c r="C38" s="29" t="s">
        <v>26</v>
      </c>
      <c r="D38" s="29" t="s">
        <v>2097</v>
      </c>
      <c r="E38" s="23" t="s">
        <v>2374</v>
      </c>
      <c r="F38" s="9" t="str">
        <f>HYPERLINK("http://stat100.ameba.jp/tnk47/ratio20/illustrations/card/ill_70111_nishinosomeiengi01.jpg", "■")</f>
        <v>■</v>
      </c>
      <c r="G38" s="7" t="s">
        <v>109</v>
      </c>
      <c r="H38" s="7"/>
      <c r="I38" s="7"/>
      <c r="J38" s="7"/>
      <c r="K38" s="7"/>
      <c r="L38" s="7"/>
      <c r="M38" s="7"/>
      <c r="N38" s="7"/>
      <c r="O38" s="7">
        <v>22</v>
      </c>
      <c r="P38" s="7">
        <v>53856</v>
      </c>
      <c r="Q38" s="7">
        <v>49940</v>
      </c>
      <c r="R38" s="7" t="s">
        <v>110</v>
      </c>
      <c r="S38" s="7" t="s">
        <v>108</v>
      </c>
    </row>
    <row r="39" spans="1:19">
      <c r="A39" s="29">
        <v>70123</v>
      </c>
      <c r="B39" s="29" t="s">
        <v>95</v>
      </c>
      <c r="C39" s="29" t="s">
        <v>26</v>
      </c>
      <c r="D39" s="29" t="s">
        <v>2097</v>
      </c>
      <c r="E39" s="23" t="s">
        <v>2375</v>
      </c>
      <c r="F39" s="9" t="str">
        <f>HYPERLINK("http://stat100.ameba.jp/tnk47/ratio20/illustrations/card/ill_70123_gogakusomeiengi03.jpg", "■")</f>
        <v>■</v>
      </c>
      <c r="G39" s="7" t="s">
        <v>104</v>
      </c>
      <c r="H39" s="7"/>
      <c r="I39" s="7"/>
      <c r="J39" s="7"/>
      <c r="K39" s="7"/>
      <c r="L39" s="7"/>
      <c r="M39" s="7"/>
      <c r="N39" s="7"/>
      <c r="O39" s="7">
        <v>22</v>
      </c>
      <c r="P39" s="7">
        <v>105366</v>
      </c>
      <c r="Q39" s="7">
        <v>97942</v>
      </c>
      <c r="R39" s="7" t="s">
        <v>105</v>
      </c>
      <c r="S39" s="7" t="s">
        <v>818</v>
      </c>
    </row>
    <row r="40" spans="1:19">
      <c r="A40" s="14">
        <v>70981</v>
      </c>
      <c r="B40" s="14" t="s">
        <v>37</v>
      </c>
      <c r="C40" s="14" t="s">
        <v>488</v>
      </c>
      <c r="D40" s="28" t="s">
        <v>2097</v>
      </c>
      <c r="E40" s="22" t="s">
        <v>2376</v>
      </c>
      <c r="F40" s="15" t="str">
        <f>HYPERLINK("http://stat100.ameba.jp/tnk47/ratio20/illustrations/card/ill_70981_higashinogokuhimengi01.jpg", "■")</f>
        <v>■</v>
      </c>
      <c r="G40" s="14" t="s">
        <v>504</v>
      </c>
      <c r="H40" s="14"/>
      <c r="I40" s="14" t="s">
        <v>1061</v>
      </c>
      <c r="J40" s="14"/>
      <c r="K40" s="14"/>
      <c r="L40" s="14" t="s">
        <v>1060</v>
      </c>
      <c r="M40" s="14"/>
      <c r="N40" s="14"/>
      <c r="O40" s="14">
        <v>22</v>
      </c>
      <c r="P40" s="14">
        <v>51040</v>
      </c>
      <c r="Q40" s="14">
        <v>56100</v>
      </c>
      <c r="R40" s="14" t="s">
        <v>500</v>
      </c>
      <c r="S40" s="14" t="s">
        <v>501</v>
      </c>
    </row>
    <row r="41" spans="1:19">
      <c r="A41" s="14">
        <v>70991</v>
      </c>
      <c r="B41" s="14" t="s">
        <v>41</v>
      </c>
      <c r="C41" s="14" t="s">
        <v>488</v>
      </c>
      <c r="D41" s="28" t="s">
        <v>2097</v>
      </c>
      <c r="E41" s="22" t="s">
        <v>2377</v>
      </c>
      <c r="F41" s="15" t="str">
        <f>HYPERLINK("http://stat100.ameba.jp/tnk47/ratio20/illustrations/card/ill_70991_nishinogokuhimengi01.jpg", "■")</f>
        <v>■</v>
      </c>
      <c r="G41" s="14" t="s">
        <v>505</v>
      </c>
      <c r="H41" s="14"/>
      <c r="I41" s="14" t="s">
        <v>1061</v>
      </c>
      <c r="J41" s="14"/>
      <c r="K41" s="14"/>
      <c r="L41" s="14" t="s">
        <v>1060</v>
      </c>
      <c r="M41" s="14"/>
      <c r="N41" s="14"/>
      <c r="O41" s="14">
        <v>22</v>
      </c>
      <c r="P41" s="14">
        <v>51040</v>
      </c>
      <c r="Q41" s="14">
        <v>56100</v>
      </c>
      <c r="R41" s="14" t="s">
        <v>502</v>
      </c>
      <c r="S41" s="14" t="s">
        <v>501</v>
      </c>
    </row>
    <row r="42" spans="1:19">
      <c r="A42" s="14">
        <v>71003</v>
      </c>
      <c r="B42" s="14" t="s">
        <v>95</v>
      </c>
      <c r="C42" s="14" t="s">
        <v>488</v>
      </c>
      <c r="D42" s="28" t="s">
        <v>2097</v>
      </c>
      <c r="E42" s="22" t="s">
        <v>2378</v>
      </c>
      <c r="F42" s="15" t="str">
        <f>HYPERLINK("http://stat100.ameba.jp/tnk47/ratio20/illustrations/card/ill_71003_retsujitsugokuhimengi03.jpg", "■")</f>
        <v>■</v>
      </c>
      <c r="G42" s="14" t="s">
        <v>503</v>
      </c>
      <c r="H42" s="14"/>
      <c r="I42" s="14"/>
      <c r="J42" s="14"/>
      <c r="K42" s="14"/>
      <c r="L42" s="14"/>
      <c r="M42" s="14"/>
      <c r="N42" s="14"/>
      <c r="O42" s="14">
        <v>22</v>
      </c>
      <c r="P42" s="14">
        <v>90940</v>
      </c>
      <c r="Q42" s="14">
        <v>97418</v>
      </c>
      <c r="R42" s="14" t="s">
        <v>498</v>
      </c>
      <c r="S42" s="14" t="s">
        <v>499</v>
      </c>
    </row>
    <row r="43" spans="1:19">
      <c r="A43" s="29">
        <v>71901</v>
      </c>
      <c r="B43" s="29" t="s">
        <v>37</v>
      </c>
      <c r="C43" s="29" t="s">
        <v>51</v>
      </c>
      <c r="D43" s="29" t="s">
        <v>2097</v>
      </c>
      <c r="E43" s="23" t="s">
        <v>2379</v>
      </c>
      <c r="F43" s="9" t="str">
        <f>HYPERLINK("http://stat100.ameba.jp/tnk47/ratio20/illustrations/card/ill_71901_higashinohanafudaengi01.jpg", "■")</f>
        <v>■</v>
      </c>
      <c r="G43" s="7" t="s">
        <v>112</v>
      </c>
      <c r="H43" s="7"/>
      <c r="I43" s="7"/>
      <c r="J43" s="7"/>
      <c r="K43" s="7"/>
      <c r="L43" s="7"/>
      <c r="M43" s="7"/>
      <c r="N43" s="7"/>
      <c r="O43" s="7">
        <v>22</v>
      </c>
      <c r="P43" s="7">
        <v>48400</v>
      </c>
      <c r="Q43" s="7">
        <v>44000</v>
      </c>
      <c r="R43" s="7" t="s">
        <v>530</v>
      </c>
      <c r="S43" s="7" t="s">
        <v>819</v>
      </c>
    </row>
    <row r="44" spans="1:19">
      <c r="A44" s="29">
        <v>71911</v>
      </c>
      <c r="B44" s="29" t="s">
        <v>41</v>
      </c>
      <c r="C44" s="29" t="s">
        <v>51</v>
      </c>
      <c r="D44" s="29" t="s">
        <v>2097</v>
      </c>
      <c r="E44" s="23" t="s">
        <v>2380</v>
      </c>
      <c r="F44" s="9" t="str">
        <f>HYPERLINK("http://stat100.ameba.jp/tnk47/ratio20/illustrations/card/ill_71911_nishinohanafudaengi01.jpg", "■")</f>
        <v>■</v>
      </c>
      <c r="G44" s="7" t="s">
        <v>113</v>
      </c>
      <c r="H44" s="7"/>
      <c r="I44" s="7"/>
      <c r="J44" s="7"/>
      <c r="K44" s="7"/>
      <c r="L44" s="7"/>
      <c r="M44" s="7"/>
      <c r="N44" s="7"/>
      <c r="O44" s="7">
        <v>22</v>
      </c>
      <c r="P44" s="7">
        <v>48400</v>
      </c>
      <c r="Q44" s="7">
        <v>44000</v>
      </c>
      <c r="R44" s="7" t="s">
        <v>529</v>
      </c>
      <c r="S44" s="7" t="s">
        <v>819</v>
      </c>
    </row>
    <row r="45" spans="1:19">
      <c r="A45" s="29">
        <v>71923</v>
      </c>
      <c r="B45" s="29" t="s">
        <v>95</v>
      </c>
      <c r="C45" s="29" t="s">
        <v>51</v>
      </c>
      <c r="D45" s="29" t="s">
        <v>2097</v>
      </c>
      <c r="E45" s="23" t="s">
        <v>2381</v>
      </c>
      <c r="F45" s="9" t="str">
        <f>HYPERLINK("http://stat100.ameba.jp/tnk47/ratio20/illustrations/card/ill_71923_shikihanafudaengi03.jpg", "■")</f>
        <v>■</v>
      </c>
      <c r="G45" s="7" t="s">
        <v>111</v>
      </c>
      <c r="H45" s="7"/>
      <c r="I45" s="7"/>
      <c r="J45" s="7"/>
      <c r="K45" s="7"/>
      <c r="L45" s="7"/>
      <c r="M45" s="7"/>
      <c r="N45" s="7"/>
      <c r="O45" s="7">
        <v>22</v>
      </c>
      <c r="P45" s="7">
        <v>105118</v>
      </c>
      <c r="Q45" s="7">
        <v>95682</v>
      </c>
      <c r="R45" s="7" t="s">
        <v>531</v>
      </c>
      <c r="S45" s="7" t="s">
        <v>820</v>
      </c>
    </row>
    <row r="46" spans="1:19">
      <c r="A46" s="14">
        <v>75981</v>
      </c>
      <c r="B46" s="14" t="s">
        <v>37</v>
      </c>
      <c r="C46" s="14" t="s">
        <v>44</v>
      </c>
      <c r="D46" s="28" t="s">
        <v>2097</v>
      </c>
      <c r="E46" s="22" t="s">
        <v>2382</v>
      </c>
      <c r="F46" s="15" t="str">
        <f>HYPERLINK("http://stat100.ameba.jp/tnk47/ratio20/illustrations/card/ill_75981_higashinobugakuengi01.jpg", "■")</f>
        <v>■</v>
      </c>
      <c r="G46" s="14" t="s">
        <v>578</v>
      </c>
      <c r="H46" s="14"/>
      <c r="I46" s="14"/>
      <c r="J46" s="14"/>
      <c r="K46" s="14"/>
      <c r="L46" s="14"/>
      <c r="M46" s="14"/>
      <c r="N46" s="14"/>
      <c r="O46" s="14">
        <v>22</v>
      </c>
      <c r="P46" s="14">
        <v>48400</v>
      </c>
      <c r="Q46" s="14">
        <v>44000</v>
      </c>
      <c r="R46" s="14" t="s">
        <v>581</v>
      </c>
      <c r="S46" s="14" t="s">
        <v>821</v>
      </c>
    </row>
    <row r="47" spans="1:19">
      <c r="A47" s="14">
        <v>75991</v>
      </c>
      <c r="B47" s="14" t="s">
        <v>41</v>
      </c>
      <c r="C47" s="14" t="s">
        <v>44</v>
      </c>
      <c r="D47" s="28" t="s">
        <v>2097</v>
      </c>
      <c r="E47" s="22" t="s">
        <v>2383</v>
      </c>
      <c r="F47" s="15" t="str">
        <f>HYPERLINK("http://stat100.ameba.jp/tnk47/ratio20/illustrations/card/ill_75991_nishinobugakuengi01.jpg", "■")</f>
        <v>■</v>
      </c>
      <c r="G47" s="14" t="s">
        <v>579</v>
      </c>
      <c r="H47" s="14"/>
      <c r="I47" s="14"/>
      <c r="J47" s="14"/>
      <c r="K47" s="14"/>
      <c r="L47" s="14"/>
      <c r="M47" s="14"/>
      <c r="N47" s="14"/>
      <c r="O47" s="14">
        <v>22</v>
      </c>
      <c r="P47" s="14">
        <v>48400</v>
      </c>
      <c r="Q47" s="14">
        <v>44000</v>
      </c>
      <c r="R47" s="14" t="s">
        <v>582</v>
      </c>
      <c r="S47" s="14" t="s">
        <v>821</v>
      </c>
    </row>
    <row r="48" spans="1:19">
      <c r="A48" s="14">
        <v>76003</v>
      </c>
      <c r="B48" s="14" t="s">
        <v>95</v>
      </c>
      <c r="C48" s="14" t="s">
        <v>44</v>
      </c>
      <c r="D48" s="28" t="s">
        <v>2097</v>
      </c>
      <c r="E48" s="22" t="s">
        <v>2384</v>
      </c>
      <c r="F48" s="15" t="str">
        <f>HYPERLINK("http://stat100.ameba.jp/tnk47/ratio20/illustrations/card/ill_76003_meibibugakuengi03.jpg", "■")</f>
        <v>■</v>
      </c>
      <c r="G48" s="14" t="s">
        <v>577</v>
      </c>
      <c r="H48" s="14"/>
      <c r="I48" s="14"/>
      <c r="J48" s="14"/>
      <c r="K48" s="14"/>
      <c r="L48" s="14"/>
      <c r="M48" s="14"/>
      <c r="N48" s="14"/>
      <c r="O48" s="14">
        <v>22</v>
      </c>
      <c r="P48" s="14">
        <v>117334</v>
      </c>
      <c r="Q48" s="14">
        <v>109456</v>
      </c>
      <c r="R48" s="14" t="s">
        <v>580</v>
      </c>
      <c r="S48" s="14" t="s">
        <v>822</v>
      </c>
    </row>
    <row r="49" spans="1:19">
      <c r="A49" s="29">
        <v>76041</v>
      </c>
      <c r="B49" s="29" t="s">
        <v>10</v>
      </c>
      <c r="C49" s="29" t="s">
        <v>6</v>
      </c>
      <c r="D49" s="29" t="s">
        <v>2097</v>
      </c>
      <c r="E49" s="23" t="s">
        <v>2385</v>
      </c>
      <c r="F49" s="9" t="str">
        <f>HYPERLINK("http://stat100.ameba.jp/tnk47/ratio20/illustrations/card/ill_76041_higashinoshishimuraengi01.jpg", "■")</f>
        <v>■</v>
      </c>
      <c r="G49" s="7" t="s">
        <v>11</v>
      </c>
      <c r="H49" s="7"/>
      <c r="I49" s="7" t="s">
        <v>1055</v>
      </c>
      <c r="J49" s="7"/>
      <c r="K49" s="7"/>
      <c r="L49" s="7" t="s">
        <v>1056</v>
      </c>
      <c r="M49" s="7" t="s">
        <v>1057</v>
      </c>
      <c r="N49" s="7"/>
      <c r="O49" s="7">
        <v>22</v>
      </c>
      <c r="P49" s="7">
        <v>61600</v>
      </c>
      <c r="Q49" s="7">
        <v>57200</v>
      </c>
      <c r="R49" s="7" t="s">
        <v>12</v>
      </c>
      <c r="S49" s="7" t="s">
        <v>13</v>
      </c>
    </row>
    <row r="50" spans="1:19">
      <c r="A50" s="29">
        <v>76051</v>
      </c>
      <c r="B50" s="29" t="s">
        <v>14</v>
      </c>
      <c r="C50" s="29" t="s">
        <v>6</v>
      </c>
      <c r="D50" s="29" t="s">
        <v>2097</v>
      </c>
      <c r="E50" s="23" t="s">
        <v>2386</v>
      </c>
      <c r="F50" s="9" t="str">
        <f>HYPERLINK("http://stat100.ameba.jp/tnk47/ratio20/illustrations/card/ill_76051_nishinoshishimuraengi01.jpg", "■")</f>
        <v>■</v>
      </c>
      <c r="G50" s="7" t="s">
        <v>15</v>
      </c>
      <c r="H50" s="7"/>
      <c r="I50" s="7" t="s">
        <v>1055</v>
      </c>
      <c r="J50" s="7"/>
      <c r="K50" s="7"/>
      <c r="L50" s="7" t="s">
        <v>1056</v>
      </c>
      <c r="M50" s="7" t="s">
        <v>1057</v>
      </c>
      <c r="N50" s="7"/>
      <c r="O50" s="7">
        <v>22</v>
      </c>
      <c r="P50" s="7">
        <v>61600</v>
      </c>
      <c r="Q50" s="7">
        <v>57200</v>
      </c>
      <c r="R50" s="7" t="s">
        <v>16</v>
      </c>
      <c r="S50" s="7" t="s">
        <v>13</v>
      </c>
    </row>
    <row r="51" spans="1:19">
      <c r="A51" s="29">
        <v>76063</v>
      </c>
      <c r="B51" s="29" t="s">
        <v>5</v>
      </c>
      <c r="C51" s="29" t="s">
        <v>6</v>
      </c>
      <c r="D51" s="29" t="s">
        <v>2097</v>
      </c>
      <c r="E51" s="23" t="s">
        <v>2387</v>
      </c>
      <c r="F51" s="9" t="str">
        <f>HYPERLINK("http://stat100.ameba.jp/tnk47/ratio20/illustrations/card/ill_76063_hoenshishimuraengi03.jpg", "■")</f>
        <v>■</v>
      </c>
      <c r="G51" s="7" t="s">
        <v>7</v>
      </c>
      <c r="H51" s="7"/>
      <c r="I51" s="7"/>
      <c r="J51" s="7"/>
      <c r="K51" s="7"/>
      <c r="L51" s="7"/>
      <c r="M51" s="7"/>
      <c r="N51" s="7"/>
      <c r="O51" s="7">
        <v>22</v>
      </c>
      <c r="P51" s="7">
        <v>110104</v>
      </c>
      <c r="Q51" s="7">
        <v>102736</v>
      </c>
      <c r="R51" s="7" t="s">
        <v>8</v>
      </c>
      <c r="S51" s="7" t="s">
        <v>9</v>
      </c>
    </row>
    <row r="52" spans="1:19">
      <c r="A52" s="14">
        <v>76881</v>
      </c>
      <c r="B52" s="14" t="s">
        <v>37</v>
      </c>
      <c r="C52" s="14" t="s">
        <v>96</v>
      </c>
      <c r="D52" s="28" t="s">
        <v>2097</v>
      </c>
      <c r="E52" s="22" t="s">
        <v>2388</v>
      </c>
      <c r="F52" s="15" t="str">
        <f>HYPERLINK("http://stat100.ameba.jp/tnk47/ratio20/illustrations/card/ill_76881_higashinoryoranengi01.jpg", "■")</f>
        <v>■</v>
      </c>
      <c r="G52" s="14" t="s">
        <v>99</v>
      </c>
      <c r="H52" s="14"/>
      <c r="I52" s="14"/>
      <c r="J52" s="14"/>
      <c r="K52" s="14"/>
      <c r="L52" s="14"/>
      <c r="M52" s="14"/>
      <c r="N52" s="14"/>
      <c r="O52" s="14">
        <v>22</v>
      </c>
      <c r="P52" s="14">
        <v>72336</v>
      </c>
      <c r="Q52" s="14">
        <v>78100</v>
      </c>
      <c r="R52" s="14" t="s">
        <v>100</v>
      </c>
      <c r="S52" s="14" t="s">
        <v>101</v>
      </c>
    </row>
    <row r="53" spans="1:19">
      <c r="A53" s="14">
        <v>76891</v>
      </c>
      <c r="B53" s="14" t="s">
        <v>41</v>
      </c>
      <c r="C53" s="14" t="s">
        <v>96</v>
      </c>
      <c r="D53" s="28" t="s">
        <v>2097</v>
      </c>
      <c r="E53" s="22" t="s">
        <v>2389</v>
      </c>
      <c r="F53" s="15" t="str">
        <f>HYPERLINK("http://stat100.ameba.jp/tnk47/ratio20/illustrations/card/ill_76891_nishinoryoranengi01.jpg", "■")</f>
        <v>■</v>
      </c>
      <c r="G53" s="14" t="s">
        <v>102</v>
      </c>
      <c r="H53" s="14"/>
      <c r="I53" s="14"/>
      <c r="J53" s="14"/>
      <c r="K53" s="14"/>
      <c r="L53" s="14"/>
      <c r="M53" s="14"/>
      <c r="N53" s="14"/>
      <c r="O53" s="14">
        <v>22</v>
      </c>
      <c r="P53" s="14">
        <v>72336</v>
      </c>
      <c r="Q53" s="14">
        <v>78100</v>
      </c>
      <c r="R53" s="14" t="s">
        <v>103</v>
      </c>
      <c r="S53" s="14" t="s">
        <v>101</v>
      </c>
    </row>
    <row r="54" spans="1:19">
      <c r="A54" s="14">
        <v>76903</v>
      </c>
      <c r="B54" s="14" t="s">
        <v>95</v>
      </c>
      <c r="C54" s="14" t="s">
        <v>96</v>
      </c>
      <c r="D54" s="28" t="s">
        <v>2097</v>
      </c>
      <c r="E54" s="22" t="s">
        <v>2390</v>
      </c>
      <c r="F54" s="15" t="str">
        <f>HYPERLINK("http://stat100.ameba.jp/tnk47/ratio20/illustrations/card/ill_76903_togekiryoranengi03.jpg", "■")</f>
        <v>■</v>
      </c>
      <c r="G54" s="14" t="s">
        <v>97</v>
      </c>
      <c r="H54" s="14"/>
      <c r="I54" s="14"/>
      <c r="J54" s="14"/>
      <c r="K54" s="14"/>
      <c r="L54" s="14"/>
      <c r="M54" s="14"/>
      <c r="N54" s="14"/>
      <c r="O54" s="14">
        <v>22</v>
      </c>
      <c r="P54" s="14">
        <v>127942</v>
      </c>
      <c r="Q54" s="14">
        <v>137654</v>
      </c>
      <c r="R54" s="14" t="s">
        <v>98</v>
      </c>
      <c r="S54" s="14" t="s">
        <v>823</v>
      </c>
    </row>
    <row r="55" spans="1:19">
      <c r="A55" s="29">
        <v>76971</v>
      </c>
      <c r="B55" s="29" t="s">
        <v>37</v>
      </c>
      <c r="C55" s="29" t="s">
        <v>74</v>
      </c>
      <c r="D55" s="29" t="s">
        <v>2097</v>
      </c>
      <c r="E55" s="23" t="s">
        <v>2391</v>
      </c>
      <c r="F55" s="9" t="str">
        <f>HYPERLINK("http://stat100.ameba.jp/tnk47/ratio20/illustrations/card/ill_76971_higashinokaidanengi01.jpg", "■")</f>
        <v>■</v>
      </c>
      <c r="G55" s="7" t="s">
        <v>496</v>
      </c>
      <c r="H55" s="7"/>
      <c r="I55" s="7" t="s">
        <v>1061</v>
      </c>
      <c r="J55" s="7"/>
      <c r="K55" s="7"/>
      <c r="L55" s="7" t="s">
        <v>1060</v>
      </c>
      <c r="M55" s="7"/>
      <c r="N55" s="7"/>
      <c r="O55" s="7">
        <v>22</v>
      </c>
      <c r="P55" s="7">
        <v>48510</v>
      </c>
      <c r="Q55" s="7">
        <v>52558</v>
      </c>
      <c r="R55" s="7" t="s">
        <v>1062</v>
      </c>
      <c r="S55" s="7" t="s">
        <v>1985</v>
      </c>
    </row>
    <row r="56" spans="1:19">
      <c r="A56" s="29">
        <v>76981</v>
      </c>
      <c r="B56" s="29" t="s">
        <v>41</v>
      </c>
      <c r="C56" s="29" t="s">
        <v>74</v>
      </c>
      <c r="D56" s="29" t="s">
        <v>2097</v>
      </c>
      <c r="E56" s="23" t="s">
        <v>2392</v>
      </c>
      <c r="F56" s="9" t="str">
        <f>HYPERLINK("http://stat100.ameba.jp/tnk47/ratio20/illustrations/card/ill_76981_nishinokaidanengi01.jpg", "■")</f>
        <v>■</v>
      </c>
      <c r="G56" s="7" t="s">
        <v>497</v>
      </c>
      <c r="H56" s="7"/>
      <c r="I56" s="7" t="s">
        <v>1061</v>
      </c>
      <c r="J56" s="7"/>
      <c r="K56" s="7"/>
      <c r="L56" s="7" t="s">
        <v>1060</v>
      </c>
      <c r="M56" s="7"/>
      <c r="N56" s="7"/>
      <c r="O56" s="7">
        <v>22</v>
      </c>
      <c r="P56" s="7">
        <v>48510</v>
      </c>
      <c r="Q56" s="7">
        <v>52558</v>
      </c>
      <c r="R56" s="7" t="s">
        <v>1064</v>
      </c>
      <c r="S56" s="7" t="s">
        <v>1985</v>
      </c>
    </row>
    <row r="57" spans="1:19">
      <c r="A57" s="29">
        <v>76993</v>
      </c>
      <c r="B57" s="29" t="s">
        <v>95</v>
      </c>
      <c r="C57" s="29" t="s">
        <v>74</v>
      </c>
      <c r="D57" s="29" t="s">
        <v>2097</v>
      </c>
      <c r="E57" s="23" t="s">
        <v>2393</v>
      </c>
      <c r="F57" s="9" t="str">
        <f>HYPERLINK("http://stat100.ameba.jp/tnk47/ratio20/illustrations/card/ill_76993_kaikokaidanengi03.jpg", "■")</f>
        <v>■</v>
      </c>
      <c r="G57" s="7" t="s">
        <v>495</v>
      </c>
      <c r="H57" s="7"/>
      <c r="I57" s="7"/>
      <c r="J57" s="7"/>
      <c r="K57" s="7"/>
      <c r="L57" s="7"/>
      <c r="M57" s="7"/>
      <c r="N57" s="7"/>
      <c r="O57" s="7">
        <v>22</v>
      </c>
      <c r="P57" s="7">
        <v>113480</v>
      </c>
      <c r="Q57" s="7">
        <v>122066</v>
      </c>
      <c r="R57" s="7" t="s">
        <v>1063</v>
      </c>
      <c r="S57" s="7" t="s">
        <v>1986</v>
      </c>
    </row>
    <row r="58" spans="1:19">
      <c r="A58" s="14">
        <v>77761</v>
      </c>
      <c r="B58" s="14" t="s">
        <v>37</v>
      </c>
      <c r="C58" s="14" t="s">
        <v>87</v>
      </c>
      <c r="D58" s="28" t="s">
        <v>2097</v>
      </c>
      <c r="E58" s="22" t="s">
        <v>2394</v>
      </c>
      <c r="F58" s="15" t="str">
        <f>HYPERLINK("http://stat100.ameba.jp/tnk47/ratio20/illustrations/card/ill_77761_higashinotoraiengi01.jpg", "■")</f>
        <v>■</v>
      </c>
      <c r="G58" s="14" t="s">
        <v>509</v>
      </c>
      <c r="H58" s="14"/>
      <c r="I58" s="14"/>
      <c r="J58" s="14"/>
      <c r="K58" s="14"/>
      <c r="L58" s="14"/>
      <c r="M58" s="14"/>
      <c r="N58" s="14"/>
      <c r="O58" s="14">
        <v>22</v>
      </c>
      <c r="P58" s="14">
        <v>54846</v>
      </c>
      <c r="Q58" s="14">
        <v>51040</v>
      </c>
      <c r="R58" s="14" t="s">
        <v>512</v>
      </c>
      <c r="S58" s="14" t="s">
        <v>513</v>
      </c>
    </row>
    <row r="59" spans="1:19">
      <c r="A59" s="14">
        <v>77771</v>
      </c>
      <c r="B59" s="14" t="s">
        <v>41</v>
      </c>
      <c r="C59" s="14" t="s">
        <v>87</v>
      </c>
      <c r="D59" s="28" t="s">
        <v>2097</v>
      </c>
      <c r="E59" s="22" t="s">
        <v>2395</v>
      </c>
      <c r="F59" s="15" t="str">
        <f>HYPERLINK("http://stat100.ameba.jp/tnk47/ratio20/illustrations/card/ill_77771_nishinotoraiengi01.jpg", "■")</f>
        <v>■</v>
      </c>
      <c r="G59" s="14" t="s">
        <v>510</v>
      </c>
      <c r="H59" s="14"/>
      <c r="I59" s="14"/>
      <c r="J59" s="14"/>
      <c r="K59" s="14"/>
      <c r="L59" s="14"/>
      <c r="M59" s="14"/>
      <c r="N59" s="14"/>
      <c r="O59" s="14">
        <v>22</v>
      </c>
      <c r="P59" s="14">
        <v>54846</v>
      </c>
      <c r="Q59" s="14">
        <v>51040</v>
      </c>
      <c r="R59" s="14" t="s">
        <v>514</v>
      </c>
      <c r="S59" s="14" t="s">
        <v>513</v>
      </c>
    </row>
    <row r="60" spans="1:19">
      <c r="A60" s="14">
        <v>77783</v>
      </c>
      <c r="B60" s="14" t="s">
        <v>95</v>
      </c>
      <c r="C60" s="14" t="s">
        <v>87</v>
      </c>
      <c r="D60" s="28" t="s">
        <v>2097</v>
      </c>
      <c r="E60" s="22" t="s">
        <v>2396</v>
      </c>
      <c r="F60" s="15" t="str">
        <f>HYPERLINK("http://stat100.ameba.jp/tnk47/ratio20/illustrations/card/ill_77783_ihotoraiengi03.jpg", "■")</f>
        <v>■</v>
      </c>
      <c r="G60" s="14" t="s">
        <v>511</v>
      </c>
      <c r="H60" s="14"/>
      <c r="I60" s="14"/>
      <c r="J60" s="14"/>
      <c r="K60" s="14"/>
      <c r="L60" s="14"/>
      <c r="M60" s="14"/>
      <c r="N60" s="14"/>
      <c r="O60" s="14">
        <v>22</v>
      </c>
      <c r="P60" s="14">
        <v>113920</v>
      </c>
      <c r="Q60" s="14">
        <v>105900</v>
      </c>
      <c r="R60" s="14" t="s">
        <v>515</v>
      </c>
      <c r="S60" s="14" t="s">
        <v>516</v>
      </c>
    </row>
    <row r="61" spans="1:19">
      <c r="A61" s="29">
        <v>78491</v>
      </c>
      <c r="B61" s="29" t="s">
        <v>37</v>
      </c>
      <c r="C61" s="29" t="s">
        <v>67</v>
      </c>
      <c r="D61" s="29" t="s">
        <v>2097</v>
      </c>
      <c r="E61" s="23" t="s">
        <v>2397</v>
      </c>
      <c r="F61" s="9" t="str">
        <f>HYPERLINK("http://stat100.ameba.jp/tnk47/ratio20/illustrations/card/ill_78491_higashinobosatsuengi01.jpg", "■")</f>
        <v>■</v>
      </c>
      <c r="G61" s="7" t="s">
        <v>571</v>
      </c>
      <c r="H61" s="7"/>
      <c r="I61" s="7"/>
      <c r="J61" s="7"/>
      <c r="K61" s="7"/>
      <c r="L61" s="7"/>
      <c r="M61" s="7"/>
      <c r="N61" s="7"/>
      <c r="O61" s="7">
        <v>22</v>
      </c>
      <c r="P61" s="7">
        <v>53306</v>
      </c>
      <c r="Q61" s="7">
        <v>57266</v>
      </c>
      <c r="R61" s="7" t="s">
        <v>572</v>
      </c>
      <c r="S61" s="7" t="s">
        <v>824</v>
      </c>
    </row>
    <row r="62" spans="1:19">
      <c r="A62" s="29">
        <v>78501</v>
      </c>
      <c r="B62" s="29" t="s">
        <v>41</v>
      </c>
      <c r="C62" s="29" t="s">
        <v>67</v>
      </c>
      <c r="D62" s="29" t="s">
        <v>2097</v>
      </c>
      <c r="E62" s="23" t="s">
        <v>2398</v>
      </c>
      <c r="F62" s="9" t="str">
        <f>HYPERLINK("http://stat100.ameba.jp/tnk47/ratio20/illustrations/card/ill_78501_nishinobosatsuengi01.jpg", "■")</f>
        <v>■</v>
      </c>
      <c r="G62" s="7" t="s">
        <v>575</v>
      </c>
      <c r="H62" s="7"/>
      <c r="I62" s="7"/>
      <c r="J62" s="7"/>
      <c r="K62" s="7"/>
      <c r="L62" s="7"/>
      <c r="M62" s="7"/>
      <c r="N62" s="7"/>
      <c r="O62" s="7">
        <v>22</v>
      </c>
      <c r="P62" s="7">
        <v>53306</v>
      </c>
      <c r="Q62" s="7">
        <v>57266</v>
      </c>
      <c r="R62" s="7" t="s">
        <v>576</v>
      </c>
      <c r="S62" s="7" t="s">
        <v>824</v>
      </c>
    </row>
    <row r="63" spans="1:19">
      <c r="A63" s="29">
        <v>78513</v>
      </c>
      <c r="B63" s="29" t="s">
        <v>95</v>
      </c>
      <c r="C63" s="29" t="s">
        <v>67</v>
      </c>
      <c r="D63" s="29" t="s">
        <v>2097</v>
      </c>
      <c r="E63" s="23" t="s">
        <v>2399</v>
      </c>
      <c r="F63" s="9" t="str">
        <f>HYPERLINK("http://stat100.ameba.jp/tnk47/ratio20/illustrations/card/ill_78513_guzebosatsuengi03.jpg", "■")</f>
        <v>■</v>
      </c>
      <c r="G63" s="7" t="s">
        <v>573</v>
      </c>
      <c r="H63" s="7"/>
      <c r="I63" s="7"/>
      <c r="J63" s="7"/>
      <c r="K63" s="7"/>
      <c r="L63" s="7"/>
      <c r="M63" s="7"/>
      <c r="N63" s="7"/>
      <c r="O63" s="7">
        <v>22</v>
      </c>
      <c r="P63" s="7">
        <v>109982</v>
      </c>
      <c r="Q63" s="7">
        <v>118302</v>
      </c>
      <c r="R63" s="7" t="s">
        <v>574</v>
      </c>
      <c r="S63" s="7" t="s">
        <v>825</v>
      </c>
    </row>
  </sheetData>
  <sortState xmlns:xlrd2="http://schemas.microsoft.com/office/spreadsheetml/2017/richdata2" ref="A4:S63">
    <sortCondition ref="A4"/>
  </sortState>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F16FB8-3A08-42F7-BD07-DF7B6D7FADCD}">
  <dimension ref="A1:M100"/>
  <sheetViews>
    <sheetView zoomScale="55" zoomScaleNormal="55" workbookViewId="0">
      <pane ySplit="1" topLeftCell="A2" activePane="bottomLeft" state="frozen"/>
      <selection activeCell="B1" sqref="B1"/>
      <selection pane="bottomLeft"/>
    </sheetView>
  </sheetViews>
  <sheetFormatPr defaultColWidth="8.9140625" defaultRowHeight="18"/>
  <cols>
    <col min="1" max="1" width="7.5" style="1" customWidth="1"/>
    <col min="2" max="2" width="10.5" style="1" customWidth="1"/>
    <col min="3" max="3" width="5.6640625" style="1" customWidth="1"/>
    <col min="4" max="4" width="25.83203125" style="1" customWidth="1"/>
    <col min="5" max="5" width="3.9140625" style="20" customWidth="1"/>
    <col min="6" max="8" width="20.75" style="1" hidden="1" customWidth="1"/>
    <col min="9" max="9" width="4.9140625" style="1" customWidth="1"/>
    <col min="10" max="11" width="7.25" style="1" customWidth="1"/>
    <col min="12" max="12" width="21" style="1" hidden="1" customWidth="1"/>
    <col min="13" max="13" width="100.6640625" style="1" customWidth="1"/>
    <col min="14" max="16384" width="8.9140625" style="1"/>
  </cols>
  <sheetData>
    <row r="1" spans="1:13">
      <c r="A1" s="11" t="s">
        <v>583</v>
      </c>
      <c r="B1" s="11" t="s">
        <v>0</v>
      </c>
      <c r="C1" s="12" t="s">
        <v>1</v>
      </c>
      <c r="D1" s="12" t="s">
        <v>2</v>
      </c>
      <c r="E1" s="12" t="s">
        <v>2126</v>
      </c>
      <c r="F1" s="12" t="s">
        <v>637</v>
      </c>
      <c r="G1" s="12" t="s">
        <v>1065</v>
      </c>
      <c r="H1" s="12" t="s">
        <v>1040</v>
      </c>
      <c r="I1" s="12" t="s">
        <v>3</v>
      </c>
      <c r="J1" s="12" t="s">
        <v>657</v>
      </c>
      <c r="K1" s="12" t="s">
        <v>658</v>
      </c>
      <c r="L1" s="12" t="s">
        <v>4</v>
      </c>
      <c r="M1" s="12" t="s">
        <v>2803</v>
      </c>
    </row>
    <row r="3" spans="1:13">
      <c r="A3" s="1" t="s">
        <v>3197</v>
      </c>
    </row>
    <row r="4" spans="1:13" s="21" customFormat="1">
      <c r="A4" s="14" t="s">
        <v>708</v>
      </c>
      <c r="B4" s="14"/>
      <c r="C4" s="14"/>
      <c r="D4" s="14"/>
      <c r="E4" s="14"/>
      <c r="F4" s="14"/>
      <c r="G4" s="14"/>
      <c r="H4" s="14"/>
      <c r="I4" s="14"/>
      <c r="J4" s="14"/>
      <c r="K4" s="14"/>
      <c r="L4" s="14"/>
    </row>
    <row r="5" spans="1:13">
      <c r="A5" s="14" t="s">
        <v>784</v>
      </c>
      <c r="B5" s="14"/>
      <c r="C5" s="14"/>
      <c r="D5" s="14"/>
      <c r="E5" s="14"/>
      <c r="F5" s="14"/>
      <c r="G5" s="14"/>
      <c r="H5" s="14"/>
      <c r="I5" s="14"/>
      <c r="J5" s="1" t="s">
        <v>3016</v>
      </c>
      <c r="K5" s="14"/>
      <c r="L5" s="14"/>
      <c r="M5" s="14"/>
    </row>
    <row r="6" spans="1:13">
      <c r="A6" s="14">
        <v>50373</v>
      </c>
      <c r="B6" s="14" t="s">
        <v>10</v>
      </c>
      <c r="C6" s="14" t="s">
        <v>51</v>
      </c>
      <c r="D6" s="22" t="s">
        <v>2406</v>
      </c>
      <c r="E6" s="15" t="str">
        <f>HYPERLINK("http://stat100.ameba.jp/tnk47/ratio20/illustrations/card/ill_50373_nemofuira03.jpg", "■")</f>
        <v>■</v>
      </c>
      <c r="F6" s="14" t="s">
        <v>410</v>
      </c>
      <c r="G6"/>
      <c r="H6" t="s">
        <v>1071</v>
      </c>
      <c r="I6" s="14">
        <v>22</v>
      </c>
      <c r="J6" s="1">
        <v>84796</v>
      </c>
      <c r="K6" s="1">
        <v>78838</v>
      </c>
      <c r="L6" s="14" t="s">
        <v>411</v>
      </c>
      <c r="M6" s="14" t="s">
        <v>412</v>
      </c>
    </row>
    <row r="7" spans="1:13">
      <c r="A7" s="14">
        <v>53263</v>
      </c>
      <c r="B7" s="14" t="s">
        <v>14</v>
      </c>
      <c r="C7" s="14" t="s">
        <v>174</v>
      </c>
      <c r="D7" s="22" t="s">
        <v>2407</v>
      </c>
      <c r="E7" s="15" t="str">
        <f>HYPERLINK("http://stat100.ameba.jp/tnk47/ratio20/illustrations/card/ill_53263_yatanokagami03.jpg", "■")</f>
        <v>■</v>
      </c>
      <c r="F7" s="14" t="s">
        <v>413</v>
      </c>
      <c r="G7" t="s">
        <v>3580</v>
      </c>
      <c r="H7"/>
      <c r="I7" s="14">
        <v>22</v>
      </c>
      <c r="J7" s="1">
        <v>84796</v>
      </c>
      <c r="K7" s="1">
        <v>78838</v>
      </c>
      <c r="L7" s="14" t="s">
        <v>414</v>
      </c>
      <c r="M7" s="14" t="s">
        <v>415</v>
      </c>
    </row>
    <row r="8" spans="1:13">
      <c r="A8" s="14"/>
      <c r="B8" s="14"/>
      <c r="C8" s="14"/>
      <c r="D8" s="14"/>
      <c r="E8" s="14"/>
      <c r="F8" s="14"/>
      <c r="G8" s="14"/>
      <c r="H8" s="14"/>
      <c r="I8" s="14"/>
      <c r="J8" s="14"/>
      <c r="K8" s="14"/>
      <c r="L8" s="14"/>
    </row>
    <row r="9" spans="1:13">
      <c r="A9" s="16" t="s">
        <v>783</v>
      </c>
      <c r="B9" s="14"/>
      <c r="C9" s="14"/>
      <c r="D9" s="14"/>
      <c r="E9" s="14"/>
      <c r="F9" s="14"/>
      <c r="G9" s="14"/>
      <c r="H9" s="14"/>
      <c r="I9" s="14"/>
      <c r="J9" s="14"/>
      <c r="K9" s="14"/>
      <c r="L9" s="14"/>
      <c r="M9" s="16"/>
    </row>
    <row r="10" spans="1:13">
      <c r="A10" s="14">
        <v>52093</v>
      </c>
      <c r="B10" s="14" t="s">
        <v>10</v>
      </c>
      <c r="C10" s="14" t="s">
        <v>96</v>
      </c>
      <c r="D10" s="22" t="s">
        <v>2404</v>
      </c>
      <c r="E10" s="15" t="str">
        <f>HYPERLINK("http://stat100.ameba.jp/tnk47/ratio20/illustrations/card/ill_52093_hojotokimune03.jpg", "■")</f>
        <v>■</v>
      </c>
      <c r="F10" s="14" t="s">
        <v>404</v>
      </c>
      <c r="G10" s="14"/>
      <c r="H10" s="14"/>
      <c r="I10" s="14">
        <v>22</v>
      </c>
      <c r="J10" s="1">
        <v>84796</v>
      </c>
      <c r="K10" s="1">
        <v>78838</v>
      </c>
      <c r="L10" s="14" t="s">
        <v>405</v>
      </c>
      <c r="M10" s="14" t="s">
        <v>406</v>
      </c>
    </row>
    <row r="11" spans="1:13">
      <c r="A11" s="14">
        <v>53283</v>
      </c>
      <c r="B11" s="14" t="s">
        <v>14</v>
      </c>
      <c r="C11" s="14" t="s">
        <v>191</v>
      </c>
      <c r="D11" s="22" t="s">
        <v>2405</v>
      </c>
      <c r="E11" s="15" t="str">
        <f>HYPERLINK("http://stat100.ameba.jp/tnk47/ratio20/illustrations/card/ill_53283_majimun03.jpg", "■")</f>
        <v>■</v>
      </c>
      <c r="F11" s="14" t="s">
        <v>407</v>
      </c>
      <c r="G11" t="s">
        <v>3579</v>
      </c>
      <c r="H11" s="14"/>
      <c r="I11" s="14">
        <v>22</v>
      </c>
      <c r="J11" s="1">
        <v>84796</v>
      </c>
      <c r="K11" s="1">
        <v>78838</v>
      </c>
      <c r="L11" s="14" t="s">
        <v>408</v>
      </c>
      <c r="M11" s="14" t="s">
        <v>409</v>
      </c>
    </row>
    <row r="12" spans="1:13">
      <c r="A12" s="14"/>
      <c r="B12" s="14"/>
      <c r="C12" s="14"/>
      <c r="D12" s="15"/>
      <c r="E12" s="15"/>
      <c r="F12" s="14"/>
      <c r="G12" s="14"/>
      <c r="H12" s="14"/>
      <c r="I12" s="14"/>
      <c r="J12" s="14"/>
      <c r="K12" s="14"/>
      <c r="L12" s="14"/>
      <c r="M12" s="14"/>
    </row>
    <row r="13" spans="1:13">
      <c r="A13" s="14" t="s">
        <v>3201</v>
      </c>
      <c r="B13" s="14"/>
      <c r="C13" s="14"/>
      <c r="D13" s="14"/>
      <c r="E13" s="14"/>
      <c r="F13" s="14"/>
      <c r="G13" s="14"/>
      <c r="H13" s="14"/>
      <c r="I13" s="14"/>
      <c r="J13" s="14"/>
      <c r="K13" s="14"/>
      <c r="L13" s="14"/>
    </row>
    <row r="14" spans="1:13">
      <c r="A14" s="14">
        <v>65363</v>
      </c>
      <c r="B14" s="14" t="s">
        <v>10</v>
      </c>
      <c r="C14" s="14" t="s">
        <v>154</v>
      </c>
      <c r="D14" s="22" t="s">
        <v>2402</v>
      </c>
      <c r="E14" s="15" t="str">
        <f>HYPERLINK("http://stat100.ameba.jp/tnk47/ratio20/illustrations/card/ill_65363_yukihimemomijihime03.jpg", "■")</f>
        <v>■</v>
      </c>
      <c r="F14" s="14" t="s">
        <v>392</v>
      </c>
      <c r="G14" s="14"/>
      <c r="H14" t="s">
        <v>1067</v>
      </c>
      <c r="I14" s="14">
        <v>22</v>
      </c>
      <c r="J14" s="1">
        <v>94886</v>
      </c>
      <c r="K14" s="1">
        <v>88226</v>
      </c>
      <c r="L14" s="14" t="s">
        <v>393</v>
      </c>
      <c r="M14" s="14" t="s">
        <v>394</v>
      </c>
    </row>
    <row r="15" spans="1:13">
      <c r="A15" s="14">
        <v>65373</v>
      </c>
      <c r="B15" s="14" t="s">
        <v>14</v>
      </c>
      <c r="C15" s="14" t="s">
        <v>26</v>
      </c>
      <c r="D15" s="22" t="s">
        <v>2403</v>
      </c>
      <c r="E15" s="15" t="str">
        <f>HYPERLINK("http://stat100.ameba.jp/tnk47/ratio20/illustrations/card/ill_65373_kotetsu03.jpg", "■")</f>
        <v>■</v>
      </c>
      <c r="F15" s="14" t="s">
        <v>395</v>
      </c>
      <c r="G15" s="14"/>
      <c r="H15" t="s">
        <v>1068</v>
      </c>
      <c r="I15" s="14">
        <v>22</v>
      </c>
      <c r="J15" s="1">
        <v>94886</v>
      </c>
      <c r="K15" s="1">
        <v>88226</v>
      </c>
      <c r="L15" s="14" t="s">
        <v>396</v>
      </c>
      <c r="M15" s="14" t="s">
        <v>397</v>
      </c>
    </row>
    <row r="16" spans="1:13">
      <c r="A16" s="14"/>
      <c r="B16" s="14"/>
      <c r="C16" s="14"/>
      <c r="D16" s="14"/>
      <c r="E16" s="14"/>
      <c r="F16" s="14"/>
      <c r="G16" s="14"/>
      <c r="H16" s="14"/>
      <c r="I16" s="14"/>
      <c r="J16" s="14"/>
      <c r="K16" s="14"/>
      <c r="L16" s="14"/>
    </row>
    <row r="17" spans="1:13">
      <c r="A17" s="14" t="s">
        <v>3301</v>
      </c>
      <c r="B17" s="14"/>
      <c r="C17" s="14"/>
      <c r="D17" s="14"/>
      <c r="E17" s="14"/>
      <c r="F17" s="14"/>
      <c r="G17" s="14"/>
      <c r="H17" s="14"/>
      <c r="I17" s="14"/>
      <c r="J17" s="14"/>
      <c r="K17" s="14"/>
      <c r="L17" s="14"/>
      <c r="M17" s="14"/>
    </row>
    <row r="18" spans="1:13">
      <c r="A18" s="14">
        <v>66093</v>
      </c>
      <c r="B18" s="14" t="s">
        <v>10</v>
      </c>
      <c r="C18" s="14" t="s">
        <v>149</v>
      </c>
      <c r="D18" s="22" t="s">
        <v>3338</v>
      </c>
      <c r="E18" s="15" t="str">
        <f>HYPERLINK("http://stat100.ameba.jp/tnk47/ratio20/illustrations/card/ill_66093_sasanishiki03.jpg", "■")</f>
        <v>■</v>
      </c>
      <c r="F18" s="14" t="s">
        <v>398</v>
      </c>
      <c r="G18" s="14"/>
      <c r="H18" t="s">
        <v>1069</v>
      </c>
      <c r="I18" s="14">
        <v>22</v>
      </c>
      <c r="J18" s="1">
        <v>94886</v>
      </c>
      <c r="K18" s="1">
        <v>88226</v>
      </c>
      <c r="L18" s="14" t="s">
        <v>399</v>
      </c>
      <c r="M18" s="14" t="s">
        <v>400</v>
      </c>
    </row>
    <row r="19" spans="1:13">
      <c r="A19" s="14">
        <v>66103</v>
      </c>
      <c r="B19" s="14" t="s">
        <v>14</v>
      </c>
      <c r="C19" s="14" t="s">
        <v>17</v>
      </c>
      <c r="D19" s="22" t="s">
        <v>2401</v>
      </c>
      <c r="E19" s="15" t="str">
        <f>HYPERLINK("http://stat100.ameba.jp/tnk47/ratio20/illustrations/card/ill_66103_kokentenno03.jpg", "■")</f>
        <v>■</v>
      </c>
      <c r="F19" s="14" t="s">
        <v>401</v>
      </c>
      <c r="G19" s="14"/>
      <c r="H19" t="s">
        <v>1070</v>
      </c>
      <c r="I19" s="14">
        <v>22</v>
      </c>
      <c r="J19" s="1">
        <v>94886</v>
      </c>
      <c r="K19" s="1">
        <v>88226</v>
      </c>
      <c r="L19" s="14" t="s">
        <v>402</v>
      </c>
      <c r="M19" s="14" t="s">
        <v>403</v>
      </c>
    </row>
    <row r="20" spans="1:13">
      <c r="A20" s="14"/>
      <c r="B20" s="14"/>
      <c r="C20" s="14"/>
      <c r="D20" s="14"/>
      <c r="E20" s="14"/>
      <c r="F20" s="14"/>
      <c r="G20" s="14"/>
      <c r="H20" s="14"/>
      <c r="I20" s="14"/>
      <c r="J20" s="14"/>
      <c r="K20" s="14"/>
      <c r="L20" s="14"/>
    </row>
    <row r="21" spans="1:13">
      <c r="A21" s="14" t="s">
        <v>3415</v>
      </c>
      <c r="B21" s="14"/>
      <c r="C21" s="14"/>
      <c r="D21" s="14"/>
      <c r="E21" s="14"/>
      <c r="F21" s="14"/>
      <c r="G21" s="14"/>
      <c r="H21" s="14"/>
      <c r="I21" s="14"/>
      <c r="J21" s="14"/>
      <c r="K21" s="14"/>
      <c r="L21" s="14"/>
      <c r="M21" s="14"/>
    </row>
    <row r="22" spans="1:13" s="82" customFormat="1">
      <c r="A22" s="14" t="s">
        <v>3570</v>
      </c>
      <c r="B22" s="14"/>
      <c r="C22" s="14"/>
      <c r="D22" s="14"/>
      <c r="E22" s="14"/>
      <c r="F22" s="14"/>
      <c r="G22" s="14"/>
      <c r="H22" s="14"/>
      <c r="I22" s="14"/>
      <c r="J22" s="14"/>
      <c r="K22" s="14"/>
      <c r="L22" s="14"/>
      <c r="M22" s="14"/>
    </row>
    <row r="23" spans="1:13">
      <c r="A23" s="14">
        <v>76103</v>
      </c>
      <c r="B23" s="14" t="s">
        <v>10</v>
      </c>
      <c r="C23" s="14" t="s">
        <v>96</v>
      </c>
      <c r="D23" s="22" t="s">
        <v>2967</v>
      </c>
      <c r="E23" s="15" t="str">
        <f>HYPERLINK("http://stat100.ameba.jp/tnk47/ratio20/illustrations/card/ill_76103_shibuaji03.jpg", "■")</f>
        <v>■</v>
      </c>
      <c r="F23" s="14" t="s">
        <v>388</v>
      </c>
      <c r="G23"/>
      <c r="H23" t="s">
        <v>3741</v>
      </c>
      <c r="I23" s="14">
        <v>22</v>
      </c>
      <c r="J23" s="1">
        <v>94886</v>
      </c>
      <c r="K23" s="1">
        <v>88226</v>
      </c>
      <c r="L23" s="14" t="s">
        <v>389</v>
      </c>
      <c r="M23" s="14" t="s">
        <v>828</v>
      </c>
    </row>
    <row r="24" spans="1:13">
      <c r="A24" s="14">
        <v>76113</v>
      </c>
      <c r="B24" s="14" t="s">
        <v>14</v>
      </c>
      <c r="C24" s="14" t="s">
        <v>87</v>
      </c>
      <c r="D24" s="22" t="s">
        <v>3743</v>
      </c>
      <c r="E24" s="15" t="str">
        <f>HYPERLINK("http://stat100.ameba.jp/tnk47/ratio20/illustrations/card/ill_76113_jannudaruku03.jpg", "■")</f>
        <v>■</v>
      </c>
      <c r="F24" s="14" t="s">
        <v>390</v>
      </c>
      <c r="G24" s="14"/>
      <c r="H24" t="s">
        <v>3742</v>
      </c>
      <c r="I24" s="14">
        <v>22</v>
      </c>
      <c r="J24" s="1">
        <v>94886</v>
      </c>
      <c r="K24" s="1">
        <v>88226</v>
      </c>
      <c r="L24" s="14" t="s">
        <v>391</v>
      </c>
      <c r="M24" s="14" t="s">
        <v>829</v>
      </c>
    </row>
    <row r="25" spans="1:13" s="63" customFormat="1">
      <c r="A25" s="14"/>
    </row>
    <row r="26" spans="1:13" s="21" customFormat="1">
      <c r="A26" s="14" t="s">
        <v>709</v>
      </c>
    </row>
    <row r="27" spans="1:13">
      <c r="A27" s="1" t="s">
        <v>3703</v>
      </c>
    </row>
    <row r="28" spans="1:13" s="82" customFormat="1">
      <c r="A28" s="82" t="s">
        <v>3740</v>
      </c>
    </row>
    <row r="29" spans="1:13">
      <c r="A29" s="28">
        <v>84733</v>
      </c>
      <c r="B29" s="28" t="s">
        <v>10</v>
      </c>
      <c r="C29" s="28" t="s">
        <v>191</v>
      </c>
      <c r="D29" s="22" t="s">
        <v>2966</v>
      </c>
      <c r="E29" s="8" t="str">
        <f>HYPERLINK("https://stat100.ameba.jp/tnk47/ratio20/illustrations/card/ill_84733_madadoru03.jpg", "■")</f>
        <v>■</v>
      </c>
      <c r="F29" s="1" t="s">
        <v>689</v>
      </c>
      <c r="H29" s="1" t="s">
        <v>3744</v>
      </c>
      <c r="I29" s="14">
        <v>22</v>
      </c>
      <c r="J29" s="1">
        <v>94886</v>
      </c>
      <c r="K29" s="1">
        <v>88226</v>
      </c>
      <c r="L29" s="1" t="s">
        <v>691</v>
      </c>
      <c r="M29" s="1" t="s">
        <v>826</v>
      </c>
    </row>
    <row r="30" spans="1:13">
      <c r="A30" s="28">
        <v>84743</v>
      </c>
      <c r="B30" s="28" t="s">
        <v>14</v>
      </c>
      <c r="C30" s="28" t="s">
        <v>174</v>
      </c>
      <c r="D30" s="22" t="s">
        <v>2400</v>
      </c>
      <c r="E30" s="8" t="str">
        <f>HYPERLINK("https://stat100.ameba.jp/tnk47/ratio20/illustrations/card/ill_84743_rinnenonyumpe03.jpg", "■")</f>
        <v>■</v>
      </c>
      <c r="F30" s="1" t="s">
        <v>690</v>
      </c>
      <c r="G30" t="s">
        <v>3746</v>
      </c>
      <c r="H30" s="1" t="s">
        <v>3745</v>
      </c>
      <c r="I30" s="14">
        <v>22</v>
      </c>
      <c r="J30" s="1">
        <v>94886</v>
      </c>
      <c r="K30" s="1">
        <v>88226</v>
      </c>
      <c r="L30" s="1" t="s">
        <v>692</v>
      </c>
      <c r="M30" s="1" t="s">
        <v>827</v>
      </c>
    </row>
    <row r="31" spans="1:13" s="94" customFormat="1">
      <c r="D31" s="22"/>
      <c r="E31" s="8"/>
      <c r="G31"/>
      <c r="I31" s="14"/>
    </row>
    <row r="32" spans="1:13" s="94" customFormat="1">
      <c r="A32" s="14" t="s">
        <v>3761</v>
      </c>
      <c r="B32" s="14"/>
      <c r="C32" s="14"/>
      <c r="D32" s="15"/>
      <c r="E32" s="15"/>
      <c r="F32" s="14"/>
      <c r="G32" s="14"/>
      <c r="H32" s="14"/>
      <c r="I32" s="14"/>
      <c r="L32" s="14"/>
      <c r="M32" s="14"/>
    </row>
    <row r="33" spans="1:13" s="94" customFormat="1">
      <c r="A33" s="94">
        <v>202813</v>
      </c>
      <c r="B33" s="94" t="s">
        <v>10</v>
      </c>
      <c r="C33" s="94" t="s">
        <v>123</v>
      </c>
      <c r="D33" s="94" t="s">
        <v>3513</v>
      </c>
      <c r="E33" s="8" t="str">
        <f>HYPERLINK("https://stat100.ameba.jp/tnk47/ratio20/illustrations/card/ill_202813_aryumetto03.jpg", "■")</f>
        <v>■</v>
      </c>
      <c r="F33" s="94" t="s">
        <v>3514</v>
      </c>
      <c r="G33" s="14"/>
      <c r="H33" s="14"/>
      <c r="I33" s="14">
        <v>22</v>
      </c>
      <c r="J33" s="94">
        <v>94886</v>
      </c>
      <c r="K33" s="94">
        <v>88226</v>
      </c>
      <c r="L33" s="94" t="s">
        <v>3509</v>
      </c>
      <c r="M33" s="94" t="s">
        <v>3510</v>
      </c>
    </row>
    <row r="34" spans="1:13" s="94" customFormat="1">
      <c r="A34" s="94">
        <v>202823</v>
      </c>
      <c r="B34" s="94" t="s">
        <v>14</v>
      </c>
      <c r="C34" s="94" t="s">
        <v>119</v>
      </c>
      <c r="D34" s="94" t="s">
        <v>3515</v>
      </c>
      <c r="E34" s="8" t="str">
        <f>HYPERLINK("https://stat100.ameba.jp/tnk47/ratio20/illustrations/card/ill_202823_fuerurisunaito03.jpg", "■")</f>
        <v>■</v>
      </c>
      <c r="F34" s="94" t="s">
        <v>3516</v>
      </c>
      <c r="G34"/>
      <c r="I34" s="14">
        <v>22</v>
      </c>
      <c r="J34" s="94">
        <v>94886</v>
      </c>
      <c r="K34" s="94">
        <v>88226</v>
      </c>
      <c r="L34" s="94" t="s">
        <v>3511</v>
      </c>
      <c r="M34" s="94" t="s">
        <v>3512</v>
      </c>
    </row>
    <row r="35" spans="1:13" s="97" customFormat="1">
      <c r="D35" s="22"/>
      <c r="E35" s="8"/>
      <c r="G35"/>
      <c r="I35" s="14"/>
    </row>
    <row r="36" spans="1:13" s="97" customFormat="1">
      <c r="A36" s="14" t="s">
        <v>3762</v>
      </c>
      <c r="B36" s="14"/>
      <c r="C36" s="14"/>
      <c r="D36" s="15"/>
      <c r="E36" s="15"/>
      <c r="F36" s="14"/>
      <c r="G36" s="14"/>
      <c r="H36" s="14"/>
      <c r="I36" s="14"/>
      <c r="L36" s="14"/>
      <c r="M36" s="14"/>
    </row>
    <row r="37" spans="1:13" s="97" customFormat="1">
      <c r="A37" s="97">
        <v>202723</v>
      </c>
      <c r="B37" s="97" t="s">
        <v>10</v>
      </c>
      <c r="C37" s="97" t="s">
        <v>119</v>
      </c>
      <c r="D37" s="97" t="s">
        <v>3538</v>
      </c>
      <c r="E37" s="8" t="str">
        <f>HYPERLINK("https://stat100.ameba.jp/tnk47/ratio20/illustrations/card/ill_202723_sekkasunorabitto03.jpg", "■")</f>
        <v>■</v>
      </c>
      <c r="F37" s="97" t="s">
        <v>3537</v>
      </c>
      <c r="G37" s="14"/>
      <c r="H37" s="14"/>
      <c r="I37" s="14">
        <v>22</v>
      </c>
      <c r="J37" s="97">
        <v>94886</v>
      </c>
      <c r="K37" s="97">
        <v>88226</v>
      </c>
      <c r="L37" s="97" t="s">
        <v>3539</v>
      </c>
      <c r="M37" s="97" t="s">
        <v>3540</v>
      </c>
    </row>
    <row r="38" spans="1:13" s="97" customFormat="1">
      <c r="A38" s="97">
        <v>202663</v>
      </c>
      <c r="B38" s="97" t="s">
        <v>14</v>
      </c>
      <c r="C38" s="97" t="s">
        <v>44</v>
      </c>
      <c r="D38" s="97" t="s">
        <v>3544</v>
      </c>
      <c r="E38" s="8" t="str">
        <f>HYPERLINK("https://stat100.ameba.jp/tnk47/ratio20/illustrations/card/ill_202663_sekkabibian03.jpg", "■")</f>
        <v>■</v>
      </c>
      <c r="F38" s="97" t="s">
        <v>3543</v>
      </c>
      <c r="G38"/>
      <c r="I38" s="14">
        <v>22</v>
      </c>
      <c r="J38" s="97">
        <v>94886</v>
      </c>
      <c r="K38" s="97">
        <v>88226</v>
      </c>
      <c r="L38" s="97" t="s">
        <v>3542</v>
      </c>
      <c r="M38" s="97" t="s">
        <v>3541</v>
      </c>
    </row>
    <row r="39" spans="1:13" s="97" customFormat="1">
      <c r="D39" s="22"/>
      <c r="E39" s="8"/>
      <c r="G39"/>
      <c r="I39" s="14"/>
    </row>
    <row r="40" spans="1:13" s="97" customFormat="1">
      <c r="A40" s="14" t="s">
        <v>3753</v>
      </c>
      <c r="B40" s="14"/>
      <c r="C40" s="14"/>
      <c r="D40" s="15"/>
      <c r="E40" s="15"/>
      <c r="F40" s="14"/>
      <c r="G40" s="14"/>
      <c r="H40" s="14"/>
      <c r="I40" s="14"/>
      <c r="L40" s="14"/>
      <c r="M40" s="14"/>
    </row>
    <row r="41" spans="1:13" s="97" customFormat="1">
      <c r="A41" s="97">
        <v>205653</v>
      </c>
      <c r="B41" s="97" t="s">
        <v>10</v>
      </c>
      <c r="C41" s="97" t="s">
        <v>169</v>
      </c>
      <c r="D41" s="97" t="s">
        <v>3671</v>
      </c>
      <c r="E41" s="8" t="str">
        <f>HYPERLINK("https://stat100.ameba.jp/tnk47/ratio20/illustrations/card/ill_205653_momonobiwasosha03.jpg", "■")</f>
        <v>■</v>
      </c>
      <c r="F41" s="97" t="s">
        <v>3670</v>
      </c>
      <c r="G41" s="14"/>
      <c r="H41" s="14"/>
      <c r="I41" s="14">
        <v>22</v>
      </c>
      <c r="J41" s="97">
        <v>94886</v>
      </c>
      <c r="K41" s="97">
        <v>88226</v>
      </c>
      <c r="L41" s="97" t="s">
        <v>3669</v>
      </c>
      <c r="M41" s="97" t="s">
        <v>3540</v>
      </c>
    </row>
    <row r="42" spans="1:13" s="97" customFormat="1">
      <c r="A42" s="97">
        <v>205663</v>
      </c>
      <c r="B42" s="97" t="s">
        <v>14</v>
      </c>
      <c r="C42" s="97" t="s">
        <v>6</v>
      </c>
      <c r="D42" s="97" t="s">
        <v>3675</v>
      </c>
      <c r="E42" s="8" t="str">
        <f>HYPERLINK("https://stat100.ameba.jp/tnk47/ratio20/illustrations/card/ill_205663_momosekkusumire03.jpg", "■")</f>
        <v>■</v>
      </c>
      <c r="F42" s="97" t="s">
        <v>3674</v>
      </c>
      <c r="G42" s="97" t="s">
        <v>1334</v>
      </c>
      <c r="I42" s="14">
        <v>22</v>
      </c>
      <c r="J42" s="97">
        <v>94886</v>
      </c>
      <c r="K42" s="97">
        <v>88226</v>
      </c>
      <c r="L42" s="97" t="s">
        <v>3673</v>
      </c>
      <c r="M42" s="97" t="s">
        <v>3672</v>
      </c>
    </row>
    <row r="43" spans="1:13">
      <c r="A43" s="14"/>
      <c r="B43" s="14"/>
      <c r="C43" s="14"/>
      <c r="D43" s="15"/>
      <c r="E43" s="15"/>
      <c r="F43" s="14"/>
      <c r="G43" s="14"/>
      <c r="H43" s="14"/>
      <c r="I43" s="14"/>
      <c r="L43" s="14"/>
      <c r="M43" s="14"/>
    </row>
    <row r="44" spans="1:13">
      <c r="A44" s="14"/>
      <c r="B44" s="14"/>
      <c r="C44" s="14"/>
      <c r="D44" s="15"/>
      <c r="E44" s="15"/>
      <c r="F44" s="14"/>
      <c r="G44" s="14"/>
      <c r="H44" s="14"/>
      <c r="I44" s="14"/>
      <c r="L44" s="14"/>
      <c r="M44" s="14"/>
    </row>
    <row r="45" spans="1:13">
      <c r="A45" s="14" t="s">
        <v>3198</v>
      </c>
      <c r="B45" s="14"/>
      <c r="C45" s="14"/>
      <c r="D45" s="14"/>
      <c r="E45" s="14"/>
      <c r="F45" s="14"/>
      <c r="G45" s="14"/>
      <c r="H45" s="14"/>
      <c r="I45" s="14"/>
      <c r="L45" s="14"/>
    </row>
    <row r="46" spans="1:13" s="21" customFormat="1">
      <c r="A46" s="14" t="s">
        <v>708</v>
      </c>
      <c r="B46" s="14"/>
      <c r="C46" s="14"/>
      <c r="D46" s="15"/>
      <c r="E46" s="15"/>
      <c r="F46" s="14"/>
      <c r="G46" s="14"/>
      <c r="H46" s="14"/>
      <c r="I46" s="14"/>
      <c r="J46" s="14"/>
      <c r="K46" s="14"/>
      <c r="L46" s="14"/>
      <c r="M46" s="14"/>
    </row>
    <row r="47" spans="1:13">
      <c r="A47" s="14" t="s">
        <v>2986</v>
      </c>
      <c r="B47" s="14"/>
      <c r="C47" s="14"/>
      <c r="D47" s="14"/>
      <c r="E47" s="14"/>
      <c r="F47" s="14"/>
      <c r="G47" s="14"/>
      <c r="H47" s="14"/>
      <c r="I47" s="14"/>
      <c r="J47" s="14"/>
      <c r="K47" s="14"/>
      <c r="L47" s="14"/>
      <c r="M47" s="14"/>
    </row>
    <row r="48" spans="1:13">
      <c r="A48" s="14">
        <v>24853</v>
      </c>
      <c r="B48" s="14" t="s">
        <v>10</v>
      </c>
      <c r="C48" s="14" t="s">
        <v>96</v>
      </c>
      <c r="D48" s="22" t="s">
        <v>2424</v>
      </c>
      <c r="E48" s="15" t="str">
        <f>HYPERLINK("http://stat100.ameba.jp/tnk47/ratio20/illustrations/card/ill_24853_tenkatoitsutokugawaieyasu03.jpg", "■")</f>
        <v>■</v>
      </c>
      <c r="F48" s="14" t="s">
        <v>451</v>
      </c>
      <c r="G48" s="14"/>
      <c r="H48" t="s">
        <v>1082</v>
      </c>
      <c r="I48" s="14">
        <v>22</v>
      </c>
      <c r="J48" s="65" t="s">
        <v>3004</v>
      </c>
      <c r="K48" s="65" t="s">
        <v>3005</v>
      </c>
      <c r="L48" s="14" t="s">
        <v>450</v>
      </c>
      <c r="M48" s="14" t="s">
        <v>839</v>
      </c>
    </row>
    <row r="49" spans="1:13">
      <c r="A49" s="14">
        <v>41093</v>
      </c>
      <c r="B49" s="14" t="s">
        <v>14</v>
      </c>
      <c r="C49" s="14" t="s">
        <v>51</v>
      </c>
      <c r="D49" s="22" t="s">
        <v>2425</v>
      </c>
      <c r="E49" s="15" t="str">
        <f>HYPERLINK("http://stat100.ameba.jp/tnk47/ratio20/illustrations/card/ill_41093_osakajo03.jpg", "■")</f>
        <v>■</v>
      </c>
      <c r="F49" s="14" t="s">
        <v>448</v>
      </c>
      <c r="G49" s="14"/>
      <c r="H49" t="s">
        <v>1085</v>
      </c>
      <c r="I49" s="14">
        <v>22</v>
      </c>
      <c r="J49" s="65" t="s">
        <v>3004</v>
      </c>
      <c r="K49" s="65" t="s">
        <v>3005</v>
      </c>
      <c r="L49" s="14" t="s">
        <v>449</v>
      </c>
      <c r="M49" s="14" t="s">
        <v>837</v>
      </c>
    </row>
    <row r="50" spans="1:13" s="63" customFormat="1">
      <c r="A50" s="14"/>
      <c r="B50" s="14"/>
      <c r="C50" s="14"/>
      <c r="D50" s="22"/>
      <c r="E50" s="15"/>
      <c r="F50" s="14"/>
      <c r="G50" s="14"/>
      <c r="H50"/>
      <c r="I50" s="14"/>
      <c r="J50" s="14"/>
      <c r="K50" s="14"/>
      <c r="L50" s="14"/>
      <c r="M50" s="14"/>
    </row>
    <row r="51" spans="1:13" s="63" customFormat="1">
      <c r="A51" s="14" t="s">
        <v>2986</v>
      </c>
      <c r="B51" s="14"/>
      <c r="C51" s="14"/>
      <c r="D51" s="14"/>
      <c r="E51" s="14"/>
      <c r="F51" s="14"/>
      <c r="G51" s="14"/>
      <c r="H51" s="14"/>
      <c r="I51" s="14"/>
      <c r="J51" s="14"/>
      <c r="K51" s="14"/>
      <c r="L51" s="14"/>
      <c r="M51" s="14"/>
    </row>
    <row r="52" spans="1:13">
      <c r="A52" s="14">
        <v>44653</v>
      </c>
      <c r="B52" s="14" t="s">
        <v>10</v>
      </c>
      <c r="C52" s="14" t="s">
        <v>149</v>
      </c>
      <c r="D52" s="22" t="s">
        <v>2422</v>
      </c>
      <c r="E52" s="15" t="str">
        <f>HYPERLINK("http://stat100.ameba.jp/tnk47/ratio20/illustrations/card/ill_44653_toyamaburakku03.jpg", "■")</f>
        <v>■</v>
      </c>
      <c r="F52" s="14" t="s">
        <v>454</v>
      </c>
      <c r="G52" t="s">
        <v>1081</v>
      </c>
      <c r="H52" s="14"/>
      <c r="I52" s="14">
        <v>22</v>
      </c>
      <c r="J52" s="65" t="s">
        <v>3004</v>
      </c>
      <c r="K52" s="65" t="s">
        <v>3005</v>
      </c>
      <c r="L52" s="14" t="s">
        <v>455</v>
      </c>
      <c r="M52" s="14" t="s">
        <v>841</v>
      </c>
    </row>
    <row r="53" spans="1:13">
      <c r="A53" s="14">
        <v>43453</v>
      </c>
      <c r="B53" s="14" t="s">
        <v>14</v>
      </c>
      <c r="C53" s="14" t="s">
        <v>87</v>
      </c>
      <c r="D53" s="22" t="s">
        <v>2423</v>
      </c>
      <c r="E53" s="15" t="str">
        <f>HYPERLINK("http://stat100.ameba.jp/tnk47/ratio20/illustrations/card/ill_43453_hatanokawakatsu03.jpg", "■")</f>
        <v>■</v>
      </c>
      <c r="F53" s="14" t="s">
        <v>444</v>
      </c>
      <c r="G53" t="s">
        <v>1084</v>
      </c>
      <c r="H53" s="14"/>
      <c r="I53" s="14">
        <v>22</v>
      </c>
      <c r="J53" s="65" t="s">
        <v>3004</v>
      </c>
      <c r="K53" s="65" t="s">
        <v>3005</v>
      </c>
      <c r="L53" s="14" t="s">
        <v>445</v>
      </c>
      <c r="M53" s="14" t="s">
        <v>837</v>
      </c>
    </row>
    <row r="55" spans="1:13" s="63" customFormat="1">
      <c r="A55" s="14" t="s">
        <v>2986</v>
      </c>
      <c r="B55" s="14"/>
      <c r="C55" s="14"/>
      <c r="D55" s="14"/>
      <c r="E55" s="14"/>
      <c r="F55" s="14"/>
      <c r="G55" s="14"/>
      <c r="H55" s="14"/>
      <c r="I55" s="14"/>
      <c r="J55" s="14"/>
      <c r="K55" s="14"/>
      <c r="L55" s="14"/>
      <c r="M55" s="14"/>
    </row>
    <row r="56" spans="1:13">
      <c r="A56" s="14">
        <v>46083</v>
      </c>
      <c r="B56" s="14" t="s">
        <v>10</v>
      </c>
      <c r="C56" s="14" t="s">
        <v>17</v>
      </c>
      <c r="D56" s="22" t="s">
        <v>2420</v>
      </c>
      <c r="E56" s="15" t="str">
        <f>HYPERLINK("http://stat100.ameba.jp/tnk47/ratio20/illustrations/card/ill_46083_keishoin03.jpg", "■")</f>
        <v>■</v>
      </c>
      <c r="F56" s="14" t="s">
        <v>456</v>
      </c>
      <c r="G56" t="s">
        <v>1080</v>
      </c>
      <c r="H56" s="14"/>
      <c r="I56" s="14">
        <v>22</v>
      </c>
      <c r="J56" s="65" t="s">
        <v>3004</v>
      </c>
      <c r="K56" s="65" t="s">
        <v>3005</v>
      </c>
      <c r="L56" s="14" t="s">
        <v>457</v>
      </c>
      <c r="M56" s="14" t="s">
        <v>839</v>
      </c>
    </row>
    <row r="57" spans="1:13">
      <c r="A57" s="14">
        <v>46053</v>
      </c>
      <c r="B57" s="14" t="s">
        <v>14</v>
      </c>
      <c r="C57" s="14" t="s">
        <v>26</v>
      </c>
      <c r="D57" s="22" t="s">
        <v>2421</v>
      </c>
      <c r="E57" s="15" t="str">
        <f>HYPERLINK("http://stat100.ameba.jp/tnk47/ratio20/illustrations/card/ill_46053_shodaiyoshizawaayame03.jpg", "■")</f>
        <v>■</v>
      </c>
      <c r="F57" s="14" t="s">
        <v>443</v>
      </c>
      <c r="G57" t="s">
        <v>1084</v>
      </c>
      <c r="H57" s="14"/>
      <c r="I57" s="14">
        <v>22</v>
      </c>
      <c r="J57" s="65" t="s">
        <v>3004</v>
      </c>
      <c r="K57" s="65" t="s">
        <v>3005</v>
      </c>
      <c r="L57" s="14" t="s">
        <v>442</v>
      </c>
      <c r="M57" s="14" t="s">
        <v>840</v>
      </c>
    </row>
    <row r="58" spans="1:13">
      <c r="A58" s="14"/>
      <c r="B58" s="14"/>
      <c r="C58" s="14"/>
      <c r="D58" s="14"/>
      <c r="E58" s="14"/>
      <c r="F58" s="14"/>
      <c r="G58" s="14"/>
      <c r="H58" s="14"/>
      <c r="I58" s="14"/>
      <c r="J58" s="14"/>
      <c r="K58" s="14"/>
      <c r="L58" s="14"/>
      <c r="M58" s="14"/>
    </row>
    <row r="59" spans="1:13" s="63" customFormat="1">
      <c r="A59" s="14" t="s">
        <v>2986</v>
      </c>
      <c r="B59" s="14"/>
      <c r="C59" s="14"/>
      <c r="D59" s="14"/>
      <c r="E59" s="14"/>
      <c r="F59" s="14"/>
      <c r="G59" s="14"/>
      <c r="H59" s="14"/>
      <c r="I59" s="14"/>
      <c r="J59" s="14"/>
      <c r="K59" s="14"/>
      <c r="L59" s="14"/>
      <c r="M59" s="14"/>
    </row>
    <row r="60" spans="1:13">
      <c r="A60" s="14">
        <v>49363</v>
      </c>
      <c r="B60" s="14" t="s">
        <v>10</v>
      </c>
      <c r="C60" s="14" t="s">
        <v>191</v>
      </c>
      <c r="D60" s="22" t="s">
        <v>2418</v>
      </c>
      <c r="E60" s="15" t="str">
        <f>HYPERLINK("http://stat100.ameba.jp/tnk47/ratio20/illustrations/card/ill_49363_furikamui03.jpg", "■")</f>
        <v>■</v>
      </c>
      <c r="F60" s="14" t="s">
        <v>706</v>
      </c>
      <c r="G60" s="14"/>
      <c r="H60" s="14"/>
      <c r="I60" s="14">
        <v>22</v>
      </c>
      <c r="J60" s="65" t="s">
        <v>3004</v>
      </c>
      <c r="K60" s="65" t="s">
        <v>3005</v>
      </c>
      <c r="L60" s="14" t="s">
        <v>707</v>
      </c>
      <c r="M60" s="14" t="s">
        <v>837</v>
      </c>
    </row>
    <row r="61" spans="1:13">
      <c r="A61" s="14">
        <v>49393</v>
      </c>
      <c r="B61" s="14" t="s">
        <v>14</v>
      </c>
      <c r="C61" s="14" t="s">
        <v>154</v>
      </c>
      <c r="D61" s="22" t="s">
        <v>2419</v>
      </c>
      <c r="E61" s="15" t="str">
        <f>HYPERLINK("http://stat100.ameba.jp/tnk47/ratio20/illustrations/card/ill_49393_gorinnosho03.jpg", "■")</f>
        <v>■</v>
      </c>
      <c r="F61" s="14" t="s">
        <v>446</v>
      </c>
      <c r="G61" s="14"/>
      <c r="H61" t="s">
        <v>1083</v>
      </c>
      <c r="I61" s="14">
        <v>22</v>
      </c>
      <c r="J61" s="65" t="s">
        <v>3004</v>
      </c>
      <c r="K61" s="65" t="s">
        <v>3005</v>
      </c>
      <c r="L61" s="14" t="s">
        <v>447</v>
      </c>
      <c r="M61" s="14" t="s">
        <v>838</v>
      </c>
    </row>
    <row r="62" spans="1:13">
      <c r="A62" s="14"/>
      <c r="B62" s="14"/>
      <c r="C62" s="14"/>
      <c r="D62" s="14"/>
      <c r="E62" s="14"/>
      <c r="F62" s="14"/>
      <c r="G62" s="14"/>
      <c r="H62" s="14"/>
      <c r="I62" s="14"/>
      <c r="L62" s="14"/>
      <c r="M62" s="14"/>
    </row>
    <row r="63" spans="1:13" s="63" customFormat="1">
      <c r="A63" s="14" t="s">
        <v>2986</v>
      </c>
      <c r="B63" s="14"/>
      <c r="C63" s="14"/>
      <c r="D63" s="14"/>
      <c r="E63" s="14"/>
      <c r="F63" s="14"/>
      <c r="G63" s="14"/>
      <c r="H63" s="14"/>
      <c r="I63" s="14"/>
      <c r="J63" s="14"/>
      <c r="K63" s="14"/>
      <c r="L63" s="14"/>
      <c r="M63" s="14"/>
    </row>
    <row r="64" spans="1:13">
      <c r="A64" s="14">
        <v>53973</v>
      </c>
      <c r="B64" s="14" t="s">
        <v>10</v>
      </c>
      <c r="C64" s="14" t="s">
        <v>87</v>
      </c>
      <c r="D64" s="22" t="s">
        <v>2416</v>
      </c>
      <c r="E64" s="15" t="str">
        <f>HYPERLINK("http://stat100.ameba.jp/tnk47/ratio20/illustrations/card/ill_53973_suikeiniijimayae03.jpg", "■")</f>
        <v>■</v>
      </c>
      <c r="F64" s="14" t="s">
        <v>452</v>
      </c>
      <c r="G64" s="14"/>
      <c r="H64" t="s">
        <v>1078</v>
      </c>
      <c r="I64" s="14">
        <v>22</v>
      </c>
      <c r="J64" s="1">
        <v>78838</v>
      </c>
      <c r="K64" s="1">
        <v>84796</v>
      </c>
      <c r="L64" s="14" t="s">
        <v>453</v>
      </c>
      <c r="M64" s="14" t="s">
        <v>835</v>
      </c>
    </row>
    <row r="65" spans="1:13">
      <c r="A65" s="14">
        <v>43463</v>
      </c>
      <c r="B65" s="14" t="s">
        <v>14</v>
      </c>
      <c r="C65" s="14" t="s">
        <v>149</v>
      </c>
      <c r="D65" s="22" t="s">
        <v>2417</v>
      </c>
      <c r="E65" s="15" t="str">
        <f>HYPERLINK("http://stat100.ameba.jp/tnk47/ratio20/illustrations/card/ill_43463_tonosamazushi03.jpg", "■")</f>
        <v>■</v>
      </c>
      <c r="F65" s="14" t="s">
        <v>440</v>
      </c>
      <c r="G65" s="14"/>
      <c r="H65" t="s">
        <v>1079</v>
      </c>
      <c r="I65" s="14">
        <v>22</v>
      </c>
      <c r="J65" s="1">
        <v>78838</v>
      </c>
      <c r="K65" s="1">
        <v>84796</v>
      </c>
      <c r="L65" s="14" t="s">
        <v>441</v>
      </c>
      <c r="M65" s="14" t="s">
        <v>836</v>
      </c>
    </row>
    <row r="66" spans="1:13">
      <c r="A66" s="14"/>
      <c r="B66" s="14"/>
      <c r="C66" s="14"/>
      <c r="D66" s="14"/>
      <c r="E66" s="14"/>
      <c r="F66" s="14"/>
      <c r="G66" s="14"/>
      <c r="H66" s="14"/>
      <c r="I66" s="14"/>
      <c r="J66" s="14"/>
      <c r="K66" s="14"/>
      <c r="L66" s="14"/>
      <c r="M66" s="14"/>
    </row>
    <row r="67" spans="1:13" s="63" customFormat="1">
      <c r="A67" s="14" t="s">
        <v>2986</v>
      </c>
      <c r="B67" s="14"/>
      <c r="C67" s="14"/>
      <c r="D67" s="14"/>
      <c r="E67" s="14"/>
      <c r="F67" s="14"/>
      <c r="G67" s="14"/>
      <c r="H67" s="14"/>
      <c r="I67" s="14"/>
      <c r="J67" s="14"/>
      <c r="K67" s="14"/>
      <c r="L67" s="14"/>
      <c r="M67" s="14"/>
    </row>
    <row r="68" spans="1:13">
      <c r="A68" s="14">
        <v>29873</v>
      </c>
      <c r="B68" s="14" t="s">
        <v>10</v>
      </c>
      <c r="C68" s="14" t="s">
        <v>26</v>
      </c>
      <c r="D68" s="22" t="s">
        <v>2414</v>
      </c>
      <c r="E68" s="15" t="str">
        <f>HYPERLINK("http://stat100.ameba.jp/tnk47/ratio20/illustrations/card/ill_29873_izumikyoka03.jpg", "■")</f>
        <v>■</v>
      </c>
      <c r="F68" s="14" t="s">
        <v>435</v>
      </c>
      <c r="G68" s="14"/>
      <c r="H68" t="s">
        <v>1076</v>
      </c>
      <c r="I68" s="14">
        <v>22</v>
      </c>
      <c r="J68" s="1">
        <v>78838</v>
      </c>
      <c r="K68" s="1">
        <v>84796</v>
      </c>
      <c r="L68" s="14" t="s">
        <v>436</v>
      </c>
      <c r="M68" s="14" t="s">
        <v>834</v>
      </c>
    </row>
    <row r="69" spans="1:13">
      <c r="A69" s="14">
        <v>57293</v>
      </c>
      <c r="B69" s="14" t="s">
        <v>14</v>
      </c>
      <c r="C69" s="14" t="s">
        <v>17</v>
      </c>
      <c r="D69" s="22" t="s">
        <v>2415</v>
      </c>
      <c r="E69" s="15" t="str">
        <f>HYPERLINK("http://stat100.ameba.jp/tnk47/ratio20/illustrations/card/ill_57293_imaizumimiyohime03.jpg", "■")</f>
        <v>■</v>
      </c>
      <c r="F69" s="14" t="s">
        <v>437</v>
      </c>
      <c r="G69" s="14"/>
      <c r="H69" t="s">
        <v>1077</v>
      </c>
      <c r="I69" s="14">
        <v>22</v>
      </c>
      <c r="J69" s="1">
        <v>78838</v>
      </c>
      <c r="K69" s="1">
        <v>84796</v>
      </c>
      <c r="L69" s="14" t="s">
        <v>438</v>
      </c>
      <c r="M69" s="14" t="s">
        <v>439</v>
      </c>
    </row>
    <row r="70" spans="1:13">
      <c r="A70" s="14"/>
      <c r="B70" s="14"/>
      <c r="C70" s="14"/>
      <c r="D70" s="15"/>
      <c r="E70" s="15"/>
      <c r="F70" s="14"/>
      <c r="G70" s="14"/>
      <c r="H70" s="14"/>
      <c r="I70" s="14"/>
      <c r="J70" s="14"/>
      <c r="K70" s="14"/>
      <c r="L70" s="14"/>
      <c r="M70" s="14"/>
    </row>
    <row r="71" spans="1:13">
      <c r="A71" s="14" t="s">
        <v>785</v>
      </c>
      <c r="B71" s="14"/>
      <c r="C71" s="14"/>
      <c r="D71" s="14"/>
      <c r="E71" s="14"/>
      <c r="F71" s="14"/>
      <c r="G71" s="14"/>
      <c r="H71" s="14"/>
      <c r="I71" s="14"/>
      <c r="J71" s="14"/>
      <c r="K71" s="14"/>
      <c r="L71" s="14"/>
    </row>
    <row r="72" spans="1:13">
      <c r="A72" s="14">
        <v>50663</v>
      </c>
      <c r="B72" s="14" t="s">
        <v>10</v>
      </c>
      <c r="C72" s="14" t="s">
        <v>149</v>
      </c>
      <c r="D72" s="22" t="s">
        <v>2410</v>
      </c>
      <c r="E72" s="15" t="str">
        <f>HYPERLINK("http://stat100.ameba.jp/tnk47/ratio20/illustrations/card/ill_50663_hokkaidoikurachan03.jpg", "■")</f>
        <v>■</v>
      </c>
      <c r="F72" s="14" t="s">
        <v>427</v>
      </c>
      <c r="G72" s="14"/>
      <c r="H72" t="s">
        <v>1074</v>
      </c>
      <c r="I72" s="14">
        <v>22</v>
      </c>
      <c r="J72" s="1">
        <v>88226</v>
      </c>
      <c r="K72" s="1">
        <v>94886</v>
      </c>
      <c r="L72" s="14" t="s">
        <v>428</v>
      </c>
      <c r="M72" s="14" t="s">
        <v>830</v>
      </c>
    </row>
    <row r="73" spans="1:13">
      <c r="A73" s="14">
        <v>64433</v>
      </c>
      <c r="B73" s="14" t="s">
        <v>14</v>
      </c>
      <c r="C73" s="14" t="s">
        <v>191</v>
      </c>
      <c r="D73" s="22" t="s">
        <v>2411</v>
      </c>
      <c r="E73" s="15" t="str">
        <f>HYPERLINK("http://stat100.ameba.jp/tnk47/ratio20/illustrations/card/ill_64433_ippondatara03.jpg", "■")</f>
        <v>■</v>
      </c>
      <c r="F73" s="14" t="s">
        <v>429</v>
      </c>
      <c r="G73" s="14"/>
      <c r="H73" t="s">
        <v>1075</v>
      </c>
      <c r="I73" s="14">
        <v>22</v>
      </c>
      <c r="J73" s="1">
        <v>88226</v>
      </c>
      <c r="K73" s="1">
        <v>94886</v>
      </c>
      <c r="L73" s="14" t="s">
        <v>430</v>
      </c>
      <c r="M73" s="14" t="s">
        <v>831</v>
      </c>
    </row>
    <row r="74" spans="1:13">
      <c r="A74" s="14"/>
      <c r="B74" s="14"/>
      <c r="C74" s="14"/>
      <c r="D74" s="14"/>
      <c r="E74" s="14"/>
      <c r="F74" s="14"/>
      <c r="G74" s="14"/>
      <c r="H74" s="14"/>
      <c r="I74" s="14"/>
      <c r="J74" s="14"/>
      <c r="K74" s="14"/>
      <c r="L74" s="14"/>
    </row>
    <row r="75" spans="1:13">
      <c r="A75" s="14" t="s">
        <v>3572</v>
      </c>
      <c r="B75" s="14"/>
      <c r="C75" s="14"/>
      <c r="D75" s="14"/>
      <c r="E75" s="14"/>
      <c r="F75" s="14"/>
      <c r="G75" s="14"/>
      <c r="H75" s="14"/>
      <c r="I75" s="14"/>
      <c r="J75" s="14"/>
      <c r="K75" s="14"/>
      <c r="L75" s="14"/>
      <c r="M75" s="14"/>
    </row>
    <row r="76" spans="1:13">
      <c r="A76" s="14">
        <v>60363</v>
      </c>
      <c r="B76" s="14" t="s">
        <v>10</v>
      </c>
      <c r="C76" s="14" t="s">
        <v>51</v>
      </c>
      <c r="D76" s="22" t="s">
        <v>2412</v>
      </c>
      <c r="E76" s="15" t="str">
        <f>HYPERLINK("http://stat100.ameba.jp/tnk47/ratio20/illustrations/card/ill_60363_shirakaba03.jpg", "■")</f>
        <v>■</v>
      </c>
      <c r="F76" s="14" t="s">
        <v>431</v>
      </c>
      <c r="G76" s="14"/>
      <c r="H76" t="s">
        <v>3747</v>
      </c>
      <c r="I76" s="14">
        <v>22</v>
      </c>
      <c r="J76" s="1">
        <v>88226</v>
      </c>
      <c r="K76" s="1">
        <v>94886</v>
      </c>
      <c r="L76" s="14" t="s">
        <v>432</v>
      </c>
      <c r="M76" s="14" t="s">
        <v>832</v>
      </c>
    </row>
    <row r="77" spans="1:13">
      <c r="A77" s="14">
        <v>59413</v>
      </c>
      <c r="B77" s="14" t="s">
        <v>14</v>
      </c>
      <c r="C77" s="14" t="s">
        <v>154</v>
      </c>
      <c r="D77" s="22" t="s">
        <v>2413</v>
      </c>
      <c r="E77" s="15" t="str">
        <f>HYPERLINK("http://stat100.ameba.jp/tnk47/ratio20/illustrations/card/ill_59413_otogosahime03.jpg", "■")</f>
        <v>■</v>
      </c>
      <c r="F77" s="14" t="s">
        <v>433</v>
      </c>
      <c r="G77" s="14"/>
      <c r="H77" t="s">
        <v>3581</v>
      </c>
      <c r="I77" s="14">
        <v>22</v>
      </c>
      <c r="J77" s="1">
        <v>88226</v>
      </c>
      <c r="K77" s="1">
        <v>94886</v>
      </c>
      <c r="L77" s="14" t="s">
        <v>434</v>
      </c>
      <c r="M77" s="14" t="s">
        <v>833</v>
      </c>
    </row>
    <row r="78" spans="1:13">
      <c r="A78" s="14"/>
      <c r="B78" s="14"/>
      <c r="C78" s="14"/>
      <c r="D78" s="14"/>
      <c r="E78" s="14"/>
      <c r="F78" s="14"/>
      <c r="G78" s="14"/>
      <c r="H78" s="14"/>
      <c r="I78" s="14"/>
      <c r="J78" s="14"/>
      <c r="K78" s="14"/>
      <c r="L78" s="14"/>
    </row>
    <row r="79" spans="1:13">
      <c r="A79" s="14" t="s">
        <v>3414</v>
      </c>
      <c r="B79" s="14"/>
      <c r="C79" s="14"/>
      <c r="D79" s="14"/>
      <c r="E79" s="14"/>
      <c r="F79" s="14"/>
      <c r="G79" s="14"/>
      <c r="H79" s="14"/>
      <c r="I79" s="14"/>
      <c r="J79" s="14"/>
      <c r="K79" s="14"/>
      <c r="L79" s="14"/>
      <c r="M79" s="14"/>
    </row>
    <row r="80" spans="1:13" s="82" customFormat="1">
      <c r="A80" s="14" t="s">
        <v>3569</v>
      </c>
      <c r="B80" s="14"/>
      <c r="C80" s="14"/>
      <c r="D80" s="14"/>
      <c r="E80" s="14"/>
      <c r="F80" s="14"/>
      <c r="G80" s="14"/>
      <c r="H80" s="14"/>
      <c r="I80" s="14"/>
      <c r="J80" s="14"/>
      <c r="K80" s="14"/>
      <c r="L80" s="14"/>
      <c r="M80" s="14"/>
    </row>
    <row r="81" spans="1:13">
      <c r="A81" s="14">
        <v>62203</v>
      </c>
      <c r="B81" s="14" t="s">
        <v>10</v>
      </c>
      <c r="C81" s="14" t="s">
        <v>17</v>
      </c>
      <c r="D81" s="22" t="s">
        <v>2969</v>
      </c>
      <c r="E81" s="15" t="str">
        <f>HYPERLINK("http://stat100.ameba.jp/tnk47/ratio20/illustrations/card/ill_62203_keishoimmasahime03.jpg", "■")</f>
        <v>■</v>
      </c>
      <c r="F81" s="14" t="s">
        <v>422</v>
      </c>
      <c r="G81" s="14"/>
      <c r="H81" t="s">
        <v>3755</v>
      </c>
      <c r="I81" s="14">
        <v>22</v>
      </c>
      <c r="J81" s="1">
        <v>88226</v>
      </c>
      <c r="K81" s="1">
        <v>94886</v>
      </c>
      <c r="L81" s="14" t="s">
        <v>423</v>
      </c>
      <c r="M81" s="14" t="s">
        <v>418</v>
      </c>
    </row>
    <row r="82" spans="1:13">
      <c r="A82" s="14">
        <v>69723</v>
      </c>
      <c r="B82" s="14" t="s">
        <v>14</v>
      </c>
      <c r="C82" s="14" t="s">
        <v>87</v>
      </c>
      <c r="D82" s="22" t="s">
        <v>2409</v>
      </c>
      <c r="E82" s="15" t="str">
        <f>HYPERLINK("http://stat100.ameba.jp/tnk47/ratio20/illustrations/card/ill_69723_nakaurajurian03.jpg", "■")</f>
        <v>■</v>
      </c>
      <c r="F82" s="14" t="s">
        <v>424</v>
      </c>
      <c r="G82" s="14"/>
      <c r="H82" t="s">
        <v>3757</v>
      </c>
      <c r="I82" s="14">
        <v>22</v>
      </c>
      <c r="J82" s="1">
        <v>88226</v>
      </c>
      <c r="K82" s="1">
        <v>94886</v>
      </c>
      <c r="L82" s="14" t="s">
        <v>425</v>
      </c>
      <c r="M82" s="14" t="s">
        <v>426</v>
      </c>
    </row>
    <row r="84" spans="1:13">
      <c r="A84" s="16" t="s">
        <v>3413</v>
      </c>
      <c r="B84" s="14"/>
      <c r="C84" s="14"/>
      <c r="D84" s="14"/>
      <c r="E84" s="14"/>
      <c r="F84" s="14"/>
      <c r="G84" s="14"/>
      <c r="H84" s="14"/>
      <c r="I84" s="14"/>
      <c r="J84" s="14"/>
      <c r="K84" s="14"/>
      <c r="L84" s="14"/>
      <c r="M84" s="16"/>
    </row>
    <row r="85" spans="1:13" s="82" customFormat="1">
      <c r="A85" s="16" t="s">
        <v>3571</v>
      </c>
      <c r="B85" s="14"/>
      <c r="C85" s="14"/>
      <c r="D85" s="14"/>
      <c r="E85" s="14"/>
      <c r="F85" s="14"/>
      <c r="G85" s="14"/>
      <c r="H85" s="14"/>
      <c r="I85" s="14"/>
      <c r="J85" s="14"/>
      <c r="K85" s="14"/>
      <c r="L85" s="14"/>
      <c r="M85" s="16"/>
    </row>
    <row r="86" spans="1:13">
      <c r="A86" s="14">
        <v>71013</v>
      </c>
      <c r="B86" s="14" t="s">
        <v>10</v>
      </c>
      <c r="C86" s="14" t="s">
        <v>154</v>
      </c>
      <c r="D86" s="22" t="s">
        <v>2968</v>
      </c>
      <c r="E86" s="15" t="str">
        <f>HYPERLINK("http://stat100.ameba.jp/tnk47/ratio20/illustrations/card/ill_71013_fujutsushisarashina03.jpg", "■")</f>
        <v>■</v>
      </c>
      <c r="F86" s="14" t="s">
        <v>416</v>
      </c>
      <c r="G86"/>
      <c r="H86" t="s">
        <v>3756</v>
      </c>
      <c r="I86" s="14">
        <v>22</v>
      </c>
      <c r="J86" s="1">
        <v>88226</v>
      </c>
      <c r="K86" s="1">
        <v>94886</v>
      </c>
      <c r="L86" s="14" t="s">
        <v>417</v>
      </c>
      <c r="M86" s="14" t="s">
        <v>418</v>
      </c>
    </row>
    <row r="87" spans="1:13">
      <c r="A87" s="14">
        <v>71023</v>
      </c>
      <c r="B87" s="14" t="s">
        <v>14</v>
      </c>
      <c r="C87" s="14" t="s">
        <v>26</v>
      </c>
      <c r="D87" s="22" t="s">
        <v>2408</v>
      </c>
      <c r="E87" s="15" t="str">
        <f>HYPERLINK("http://stat100.ameba.jp/tnk47/ratio20/illustrations/card/ill_71023_ommyojiiroha03.jpg", "■")</f>
        <v>■</v>
      </c>
      <c r="F87" s="14" t="s">
        <v>419</v>
      </c>
      <c r="G87"/>
      <c r="H87" t="s">
        <v>3754</v>
      </c>
      <c r="I87" s="14">
        <v>22</v>
      </c>
      <c r="J87" s="1">
        <v>88226</v>
      </c>
      <c r="K87" s="1">
        <v>94886</v>
      </c>
      <c r="L87" s="14" t="s">
        <v>420</v>
      </c>
      <c r="M87" s="14" t="s">
        <v>421</v>
      </c>
    </row>
    <row r="89" spans="1:13" s="21" customFormat="1">
      <c r="A89" s="14" t="s">
        <v>709</v>
      </c>
      <c r="B89" s="14"/>
      <c r="C89" s="14"/>
      <c r="D89" s="14"/>
      <c r="E89" s="14"/>
      <c r="F89" s="14"/>
      <c r="G89" s="14"/>
      <c r="H89" s="14"/>
      <c r="I89" s="14"/>
      <c r="L89" s="14"/>
    </row>
    <row r="90" spans="1:13">
      <c r="A90" s="16" t="s">
        <v>3711</v>
      </c>
    </row>
    <row r="91" spans="1:13">
      <c r="A91" s="91">
        <v>71743</v>
      </c>
      <c r="B91" s="91" t="s">
        <v>10</v>
      </c>
      <c r="C91" s="91" t="s">
        <v>67</v>
      </c>
      <c r="D91" s="22" t="s">
        <v>3504</v>
      </c>
      <c r="E91" s="8" t="str">
        <f>HYPERLINK("https://stat100.ameba.jp/tnk47/ratio20/illustrations/card/ill_71743_goraiko03.jpg", "■")</f>
        <v>■</v>
      </c>
      <c r="F91" s="91" t="s">
        <v>3502</v>
      </c>
      <c r="I91" s="14">
        <v>22</v>
      </c>
      <c r="J91" s="91">
        <v>88226</v>
      </c>
      <c r="K91" s="91">
        <v>94886</v>
      </c>
      <c r="L91" s="91" t="s">
        <v>3498</v>
      </c>
      <c r="M91" s="91" t="s">
        <v>3499</v>
      </c>
    </row>
    <row r="92" spans="1:13">
      <c r="A92" s="91">
        <v>56003</v>
      </c>
      <c r="B92" s="91" t="s">
        <v>14</v>
      </c>
      <c r="C92" s="91" t="s">
        <v>59</v>
      </c>
      <c r="D92" s="22" t="s">
        <v>3505</v>
      </c>
      <c r="E92" s="8" t="str">
        <f>HYPERLINK("https://stat100.ameba.jp/tnk47/ratio20/illustrations/card/ill_56003_sogomasaharu03.jpg", "■")</f>
        <v>■</v>
      </c>
      <c r="F92" s="91" t="s">
        <v>3503</v>
      </c>
      <c r="I92" s="14">
        <v>22</v>
      </c>
      <c r="J92" s="91">
        <v>88226</v>
      </c>
      <c r="K92" s="91">
        <v>94886</v>
      </c>
      <c r="L92" s="91" t="s">
        <v>3500</v>
      </c>
      <c r="M92" s="91" t="s">
        <v>3501</v>
      </c>
    </row>
    <row r="94" spans="1:13">
      <c r="A94" s="16" t="s">
        <v>3536</v>
      </c>
    </row>
    <row r="95" spans="1:13">
      <c r="A95" s="1">
        <v>203463</v>
      </c>
      <c r="B95" s="97" t="s">
        <v>10</v>
      </c>
      <c r="C95" s="1" t="s">
        <v>74</v>
      </c>
      <c r="D95" s="1" t="s">
        <v>3529</v>
      </c>
      <c r="E95" s="8" t="str">
        <f>HYPERLINK("https://stat100.ameba.jp/tnk47/ratio20/illustrations/card/ill_203463_horiraito03.jpg", "■")</f>
        <v>■</v>
      </c>
      <c r="F95" s="1" t="s">
        <v>3530</v>
      </c>
      <c r="I95" s="1">
        <v>30</v>
      </c>
      <c r="J95" s="1">
        <v>90716</v>
      </c>
      <c r="K95" s="1">
        <v>161416</v>
      </c>
      <c r="L95" s="1" t="s">
        <v>3531</v>
      </c>
      <c r="M95" s="1" t="s">
        <v>3532</v>
      </c>
    </row>
    <row r="96" spans="1:13">
      <c r="A96" s="1">
        <v>203473</v>
      </c>
      <c r="B96" s="97" t="s">
        <v>14</v>
      </c>
      <c r="C96" s="1" t="s">
        <v>209</v>
      </c>
      <c r="D96" s="1" t="s">
        <v>3535</v>
      </c>
      <c r="E96" s="8" t="str">
        <f>HYPERLINK("https://stat100.ameba.jp/tnk47/ratio20/illustrations/card/ill_203473_horirisu03.jpg", "■")</f>
        <v>■</v>
      </c>
      <c r="F96" s="1" t="s">
        <v>3534</v>
      </c>
      <c r="I96" s="97">
        <v>30</v>
      </c>
      <c r="J96" s="1">
        <v>85032</v>
      </c>
      <c r="K96" s="1">
        <v>151294</v>
      </c>
      <c r="L96" s="1" t="s">
        <v>3533</v>
      </c>
      <c r="M96" s="1" t="s">
        <v>3501</v>
      </c>
    </row>
    <row r="98" spans="1:13">
      <c r="A98" s="1" t="s">
        <v>3751</v>
      </c>
    </row>
    <row r="99" spans="1:13">
      <c r="A99" s="1">
        <v>204943</v>
      </c>
      <c r="B99" s="97" t="s">
        <v>10</v>
      </c>
      <c r="C99" s="1" t="s">
        <v>6</v>
      </c>
      <c r="D99" s="1" t="s">
        <v>3573</v>
      </c>
      <c r="E99" s="8" t="str">
        <f>HYPERLINK("https://stat100.ameba.jp/tnk47/ratio20/illustrations/card/ill_204943_toenjaruji03.jpg", "■")</f>
        <v>■</v>
      </c>
      <c r="F99" s="1" t="s">
        <v>3574</v>
      </c>
      <c r="I99" s="14">
        <v>22</v>
      </c>
      <c r="J99" s="97">
        <v>88226</v>
      </c>
      <c r="K99" s="97">
        <v>94886</v>
      </c>
      <c r="L99" s="1" t="s">
        <v>3575</v>
      </c>
      <c r="M99" s="1" t="s">
        <v>3499</v>
      </c>
    </row>
    <row r="100" spans="1:13">
      <c r="A100" s="1">
        <v>204953</v>
      </c>
      <c r="B100" s="97" t="s">
        <v>14</v>
      </c>
      <c r="C100" s="1" t="s">
        <v>209</v>
      </c>
      <c r="D100" s="1" t="s">
        <v>3576</v>
      </c>
      <c r="E100" s="8" t="str">
        <f>HYPERLINK("https://stat100.ameba.jp/tnk47/ratio20/illustrations/card/ill_204953_sukuriiamu03.jpg", "■")</f>
        <v>■</v>
      </c>
      <c r="F100" s="1" t="s">
        <v>3577</v>
      </c>
      <c r="I100" s="14">
        <v>22</v>
      </c>
      <c r="J100" s="97">
        <v>88226</v>
      </c>
      <c r="K100" s="97">
        <v>94886</v>
      </c>
      <c r="L100" s="1" t="s">
        <v>3578</v>
      </c>
      <c r="M100" s="1" t="s">
        <v>3501</v>
      </c>
    </row>
  </sheetData>
  <phoneticPr fontId="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E1370E-BD57-4740-9115-0B77B36E3528}">
  <dimension ref="A1:AC235"/>
  <sheetViews>
    <sheetView zoomScale="55" zoomScaleNormal="55" workbookViewId="0">
      <pane ySplit="1" topLeftCell="A2" activePane="bottomLeft" state="frozen"/>
      <selection pane="bottomLeft"/>
    </sheetView>
  </sheetViews>
  <sheetFormatPr defaultColWidth="8.9140625" defaultRowHeight="18"/>
  <cols>
    <col min="1" max="1" width="7.58203125" style="1" customWidth="1"/>
    <col min="2" max="2" width="10.5" style="1" customWidth="1"/>
    <col min="3" max="3" width="5.6640625" style="1" customWidth="1"/>
    <col min="4" max="4" width="25.83203125" style="1" customWidth="1"/>
    <col min="5" max="5" width="3.9140625" style="20" customWidth="1"/>
    <col min="6" max="6" width="20.75" style="1" hidden="1" customWidth="1"/>
    <col min="7" max="15" width="4.9140625" style="1" hidden="1" customWidth="1"/>
    <col min="16" max="16" width="4.9140625" style="59" hidden="1" customWidth="1"/>
    <col min="17" max="18" width="4.9140625" style="92" hidden="1" customWidth="1"/>
    <col min="19" max="19" width="4.9140625" style="83" hidden="1" customWidth="1"/>
    <col min="20" max="20" width="4.9140625" style="92" hidden="1" customWidth="1"/>
    <col min="21" max="21" width="4.9140625" style="83" hidden="1" customWidth="1"/>
    <col min="22" max="22" width="20.75" style="1" hidden="1" customWidth="1"/>
    <col min="23" max="23" width="4.9140625" style="1" customWidth="1"/>
    <col min="24" max="25" width="7.25" style="1" customWidth="1"/>
    <col min="26" max="26" width="24.6640625" style="1" hidden="1" customWidth="1"/>
    <col min="27" max="27" width="91" style="1" customWidth="1"/>
    <col min="28" max="28" width="20.33203125" style="1" customWidth="1"/>
    <col min="29" max="29" width="65.25" style="1" hidden="1" customWidth="1"/>
    <col min="30" max="16384" width="8.9140625" style="1"/>
  </cols>
  <sheetData>
    <row r="1" spans="1:29">
      <c r="A1" s="11" t="s">
        <v>583</v>
      </c>
      <c r="B1" s="11" t="s">
        <v>0</v>
      </c>
      <c r="C1" s="12" t="s">
        <v>1</v>
      </c>
      <c r="D1" s="12" t="s">
        <v>2</v>
      </c>
      <c r="E1" s="12" t="s">
        <v>2126</v>
      </c>
      <c r="F1" s="12" t="s">
        <v>637</v>
      </c>
      <c r="G1" s="12">
        <v>12</v>
      </c>
      <c r="H1" s="12">
        <v>13</v>
      </c>
      <c r="I1" s="12">
        <v>14</v>
      </c>
      <c r="J1" s="12">
        <v>15</v>
      </c>
      <c r="K1" s="12">
        <v>16</v>
      </c>
      <c r="L1" s="12">
        <v>17</v>
      </c>
      <c r="M1" s="12">
        <v>18</v>
      </c>
      <c r="N1" s="12">
        <v>19</v>
      </c>
      <c r="O1" s="12">
        <v>20</v>
      </c>
      <c r="P1" s="12">
        <v>21</v>
      </c>
      <c r="Q1" s="12">
        <v>22</v>
      </c>
      <c r="R1" s="12">
        <v>23</v>
      </c>
      <c r="S1" s="12">
        <v>24</v>
      </c>
      <c r="T1" s="12">
        <v>25</v>
      </c>
      <c r="U1" s="12">
        <v>26</v>
      </c>
      <c r="V1" s="12" t="s">
        <v>1040</v>
      </c>
      <c r="W1" s="12" t="s">
        <v>114</v>
      </c>
      <c r="X1" s="12" t="s">
        <v>657</v>
      </c>
      <c r="Y1" s="12" t="s">
        <v>658</v>
      </c>
      <c r="Z1" s="12" t="s">
        <v>4</v>
      </c>
      <c r="AA1" s="12" t="s">
        <v>2803</v>
      </c>
      <c r="AB1" s="12" t="s">
        <v>296</v>
      </c>
      <c r="AC1" s="11" t="s">
        <v>2804</v>
      </c>
    </row>
    <row r="2" spans="1:29">
      <c r="A2" s="2"/>
      <c r="B2" s="2"/>
      <c r="C2" s="2"/>
      <c r="D2" s="2"/>
      <c r="F2" s="2"/>
      <c r="G2" s="2"/>
      <c r="H2" s="2"/>
      <c r="I2" s="2"/>
      <c r="J2" s="2"/>
      <c r="K2" s="2"/>
      <c r="L2" s="2"/>
      <c r="M2" s="2"/>
      <c r="N2" s="2"/>
      <c r="O2" s="2"/>
      <c r="P2" s="2"/>
      <c r="Q2" s="2"/>
      <c r="R2" s="2"/>
      <c r="S2" s="2"/>
      <c r="T2" s="2"/>
      <c r="U2" s="2"/>
      <c r="V2" s="2"/>
      <c r="W2" s="2"/>
      <c r="X2" s="2"/>
      <c r="Y2" s="2"/>
      <c r="Z2" s="2"/>
      <c r="AA2" s="2"/>
      <c r="AB2" s="2"/>
      <c r="AC2" s="2"/>
    </row>
    <row r="3" spans="1:29">
      <c r="A3" s="2" t="s">
        <v>708</v>
      </c>
      <c r="B3" s="2"/>
      <c r="C3" s="28"/>
      <c r="AC3" s="2"/>
    </row>
    <row r="4" spans="1:29">
      <c r="A4" s="6" t="s">
        <v>3335</v>
      </c>
      <c r="B4" s="2"/>
      <c r="C4" s="2"/>
      <c r="D4" s="2"/>
      <c r="E4" s="2"/>
      <c r="F4" s="2"/>
      <c r="G4" s="2"/>
      <c r="H4" s="2"/>
      <c r="I4" s="2"/>
      <c r="J4" s="2"/>
      <c r="K4" s="2"/>
      <c r="L4" s="2"/>
      <c r="M4" s="2"/>
      <c r="N4" s="2"/>
      <c r="O4" s="2"/>
      <c r="P4" s="2"/>
      <c r="Q4" s="2"/>
      <c r="R4" s="2"/>
      <c r="S4" s="2"/>
      <c r="T4" s="2"/>
      <c r="U4" s="2"/>
      <c r="V4" s="2"/>
      <c r="W4" s="2"/>
      <c r="X4" s="2"/>
      <c r="Y4" s="2"/>
      <c r="Z4" s="2"/>
      <c r="AA4" s="2"/>
      <c r="AB4" s="2"/>
      <c r="AC4" s="2"/>
    </row>
    <row r="5" spans="1:29" s="78" customFormat="1">
      <c r="A5" s="78" t="s">
        <v>3336</v>
      </c>
      <c r="B5" s="2"/>
      <c r="C5" s="2"/>
      <c r="D5" s="2"/>
      <c r="E5" s="2"/>
      <c r="F5" s="2"/>
      <c r="G5" s="2"/>
      <c r="H5" s="2"/>
      <c r="I5" s="2"/>
      <c r="J5" s="2"/>
      <c r="K5" s="2"/>
      <c r="L5" s="2"/>
      <c r="M5" s="2"/>
      <c r="N5" s="2"/>
      <c r="O5" s="2"/>
      <c r="P5" s="2"/>
      <c r="Q5" s="2"/>
      <c r="R5" s="2"/>
      <c r="S5" s="2"/>
      <c r="T5" s="2"/>
      <c r="U5" s="2"/>
      <c r="V5" s="2"/>
      <c r="W5" s="2"/>
      <c r="X5" s="2"/>
      <c r="Y5" s="2"/>
      <c r="Z5" s="2"/>
      <c r="AA5" s="2"/>
      <c r="AB5" s="5"/>
      <c r="AC5" s="2"/>
    </row>
    <row r="6" spans="1:29" s="63" customFormat="1">
      <c r="A6" s="6" t="s">
        <v>2986</v>
      </c>
      <c r="B6" s="2"/>
      <c r="C6" s="2"/>
      <c r="D6" s="2"/>
      <c r="E6" s="2"/>
      <c r="F6" s="2"/>
      <c r="G6" s="2"/>
      <c r="H6" s="2"/>
      <c r="I6" s="2"/>
      <c r="J6" s="2"/>
      <c r="K6" s="2"/>
      <c r="L6" s="2"/>
      <c r="M6" s="2"/>
      <c r="N6" s="2"/>
      <c r="O6" s="2"/>
      <c r="P6" s="2"/>
      <c r="Q6" s="2"/>
      <c r="R6" s="2"/>
      <c r="S6" s="2"/>
      <c r="T6" s="2"/>
      <c r="U6" s="2"/>
      <c r="V6" s="2"/>
      <c r="W6" s="2"/>
      <c r="X6" s="2"/>
      <c r="Y6" s="2"/>
      <c r="Z6" s="2"/>
      <c r="AA6" s="2"/>
      <c r="AB6" s="2"/>
      <c r="AC6" s="2"/>
    </row>
    <row r="7" spans="1:29">
      <c r="A7" s="2">
        <v>48713</v>
      </c>
      <c r="B7" s="2" t="s">
        <v>297</v>
      </c>
      <c r="C7" s="2" t="s">
        <v>209</v>
      </c>
      <c r="D7" s="22" t="s">
        <v>2335</v>
      </c>
      <c r="E7" s="8" t="str">
        <f>HYPERLINK("https://stat100.ameba.jp/tnk47/ratio20/illustrations/card/ill_48713_tamayohime03.jpg", "■")</f>
        <v>■</v>
      </c>
      <c r="F7" s="2" t="s">
        <v>717</v>
      </c>
      <c r="G7" s="2"/>
      <c r="H7" s="2"/>
      <c r="I7" s="2"/>
      <c r="J7" s="2"/>
      <c r="K7" s="2"/>
      <c r="L7" s="2"/>
      <c r="M7" s="2"/>
      <c r="N7" s="2"/>
      <c r="O7" s="2"/>
      <c r="P7" s="2"/>
      <c r="Q7" s="2"/>
      <c r="R7" s="2"/>
      <c r="S7" s="2"/>
      <c r="T7" s="2"/>
      <c r="U7" s="2"/>
      <c r="V7" s="1" t="s">
        <v>1117</v>
      </c>
      <c r="W7" s="77">
        <v>22</v>
      </c>
      <c r="X7" s="77">
        <v>84796</v>
      </c>
      <c r="Y7" s="77">
        <v>78838</v>
      </c>
      <c r="Z7" s="2" t="s">
        <v>716</v>
      </c>
      <c r="AA7" s="2" t="s">
        <v>907</v>
      </c>
      <c r="AB7" s="1" t="s">
        <v>386</v>
      </c>
      <c r="AC7" s="1" t="s">
        <v>387</v>
      </c>
    </row>
    <row r="8" spans="1:29">
      <c r="A8" s="2">
        <v>48723</v>
      </c>
      <c r="B8" s="2" t="s">
        <v>303</v>
      </c>
      <c r="C8" s="2" t="s">
        <v>74</v>
      </c>
      <c r="D8" s="22" t="s">
        <v>2336</v>
      </c>
      <c r="E8" s="8" t="str">
        <f>HYPERLINK("https://stat100.ameba.jp/tnk47/ratio20/illustrations/card/ill_48723_hiimisama03.jpg", "■")</f>
        <v>■</v>
      </c>
      <c r="F8" s="2" t="s">
        <v>721</v>
      </c>
      <c r="G8" s="2"/>
      <c r="H8" s="2"/>
      <c r="I8" s="2"/>
      <c r="J8" s="2"/>
      <c r="K8" s="2"/>
      <c r="L8" s="2"/>
      <c r="M8" s="2"/>
      <c r="N8" s="2"/>
      <c r="O8" s="2"/>
      <c r="P8" s="2"/>
      <c r="Q8" s="2"/>
      <c r="R8" s="2"/>
      <c r="S8" s="2"/>
      <c r="T8" s="2"/>
      <c r="U8" s="2"/>
      <c r="V8" s="1" t="s">
        <v>1118</v>
      </c>
      <c r="W8" s="77">
        <v>22</v>
      </c>
      <c r="X8" s="77">
        <v>84796</v>
      </c>
      <c r="Y8" s="77">
        <v>78838</v>
      </c>
      <c r="Z8" s="1" t="s">
        <v>720</v>
      </c>
      <c r="AA8" s="2" t="s">
        <v>908</v>
      </c>
      <c r="AB8" s="1" t="s">
        <v>386</v>
      </c>
      <c r="AC8" s="1" t="s">
        <v>387</v>
      </c>
    </row>
    <row r="9" spans="1:29">
      <c r="A9" s="2">
        <v>48733</v>
      </c>
      <c r="B9" s="2" t="s">
        <v>306</v>
      </c>
      <c r="C9" s="2" t="s">
        <v>149</v>
      </c>
      <c r="D9" s="22" t="s">
        <v>2337</v>
      </c>
      <c r="E9" s="8" t="str">
        <f>HYPERLINK("https://stat100.ameba.jp/tnk47/ratio20/illustrations/card/ill_48733_nagoyakochin03.jpg", "■")</f>
        <v>■</v>
      </c>
      <c r="F9" s="2" t="s">
        <v>733</v>
      </c>
      <c r="G9" s="2"/>
      <c r="H9" s="2"/>
      <c r="I9" s="2"/>
      <c r="J9" s="2"/>
      <c r="K9" s="2"/>
      <c r="L9" s="2"/>
      <c r="M9" s="2"/>
      <c r="N9" s="2"/>
      <c r="O9" s="2"/>
      <c r="P9" s="2"/>
      <c r="Q9" s="2"/>
      <c r="R9" s="2"/>
      <c r="S9" s="2"/>
      <c r="T9" s="2"/>
      <c r="U9" s="2"/>
      <c r="V9" s="1" t="s">
        <v>1115</v>
      </c>
      <c r="W9" s="77">
        <v>22</v>
      </c>
      <c r="X9" s="77">
        <v>78838</v>
      </c>
      <c r="Y9" s="77">
        <v>84796</v>
      </c>
      <c r="Z9" s="2" t="s">
        <v>732</v>
      </c>
      <c r="AA9" s="2" t="s">
        <v>909</v>
      </c>
      <c r="AB9" s="1" t="s">
        <v>386</v>
      </c>
      <c r="AC9" s="1" t="s">
        <v>387</v>
      </c>
    </row>
    <row r="10" spans="1:29">
      <c r="A10" s="2">
        <v>48743</v>
      </c>
      <c r="B10" s="2" t="s">
        <v>379</v>
      </c>
      <c r="C10" s="2" t="s">
        <v>59</v>
      </c>
      <c r="D10" s="22" t="s">
        <v>2338</v>
      </c>
      <c r="E10" s="8" t="str">
        <f>HYPERLINK("https://stat100.ameba.jp/tnk47/ratio20/illustrations/card/ill_48743_toyotomihideyori03.jpg", "■")</f>
        <v>■</v>
      </c>
      <c r="F10" s="2" t="s">
        <v>741</v>
      </c>
      <c r="G10" s="2"/>
      <c r="H10" s="2"/>
      <c r="I10" s="2"/>
      <c r="J10" s="2"/>
      <c r="K10" s="2"/>
      <c r="L10" s="2"/>
      <c r="M10" s="2"/>
      <c r="N10" s="2"/>
      <c r="O10" s="2"/>
      <c r="P10" s="2"/>
      <c r="Q10" s="2"/>
      <c r="R10" s="2"/>
      <c r="S10" s="2"/>
      <c r="T10" s="2"/>
      <c r="U10" s="2"/>
      <c r="V10" s="1" t="s">
        <v>1119</v>
      </c>
      <c r="W10" s="77">
        <v>22</v>
      </c>
      <c r="X10" s="77">
        <v>78838</v>
      </c>
      <c r="Y10" s="77">
        <v>84796</v>
      </c>
      <c r="Z10" s="1" t="s">
        <v>740</v>
      </c>
      <c r="AA10" s="2" t="s">
        <v>910</v>
      </c>
      <c r="AB10" s="1" t="s">
        <v>386</v>
      </c>
      <c r="AC10" s="1" t="s">
        <v>387</v>
      </c>
    </row>
    <row r="11" spans="1:29">
      <c r="A11" s="2">
        <v>48753</v>
      </c>
      <c r="B11" s="2" t="s">
        <v>313</v>
      </c>
      <c r="C11" s="2" t="s">
        <v>67</v>
      </c>
      <c r="D11" s="22" t="s">
        <v>2339</v>
      </c>
      <c r="E11" s="8" t="str">
        <f>HYPERLINK("https://stat100.ameba.jp/tnk47/ratio20/illustrations/card/ill_48753_kushiyatamanokami03.jpg", "■")</f>
        <v>■</v>
      </c>
      <c r="F11" s="2" t="s">
        <v>749</v>
      </c>
      <c r="G11" s="2"/>
      <c r="H11" s="2"/>
      <c r="I11" s="2"/>
      <c r="J11" s="2"/>
      <c r="K11" s="2"/>
      <c r="L11" s="2"/>
      <c r="M11" s="2"/>
      <c r="N11" s="2"/>
      <c r="O11" s="2"/>
      <c r="P11" s="2"/>
      <c r="Q11" s="2"/>
      <c r="R11" s="2"/>
      <c r="S11" s="2"/>
      <c r="T11" s="2"/>
      <c r="U11" s="2"/>
      <c r="V11" s="1" t="s">
        <v>1120</v>
      </c>
      <c r="W11" s="77">
        <v>22</v>
      </c>
      <c r="X11" s="77">
        <v>84796</v>
      </c>
      <c r="Y11" s="77">
        <v>78838</v>
      </c>
      <c r="Z11" s="2" t="s">
        <v>748</v>
      </c>
      <c r="AA11" s="2" t="s">
        <v>911</v>
      </c>
      <c r="AB11" s="1" t="s">
        <v>386</v>
      </c>
      <c r="AC11" s="1" t="s">
        <v>387</v>
      </c>
    </row>
    <row r="12" spans="1:29">
      <c r="A12" s="2">
        <v>48763</v>
      </c>
      <c r="B12" s="2" t="s">
        <v>316</v>
      </c>
      <c r="C12" s="2" t="s">
        <v>119</v>
      </c>
      <c r="D12" s="22" t="s">
        <v>3300</v>
      </c>
      <c r="E12" s="8" t="str">
        <f>HYPERLINK("https://stat100.ameba.jp/tnk47/ratio20/illustrations/card/ill_48763_tanegashimauchusenta03.jpg", "■")</f>
        <v>■</v>
      </c>
      <c r="F12" s="2" t="s">
        <v>751</v>
      </c>
      <c r="G12" s="2"/>
      <c r="H12" s="2"/>
      <c r="I12" s="2"/>
      <c r="J12" s="2"/>
      <c r="K12" s="2"/>
      <c r="L12" s="2"/>
      <c r="M12" s="2"/>
      <c r="N12" s="2"/>
      <c r="O12" s="2"/>
      <c r="P12" s="2"/>
      <c r="Q12" s="2"/>
      <c r="R12" s="2"/>
      <c r="S12" s="2"/>
      <c r="T12" s="2"/>
      <c r="U12" s="2"/>
      <c r="V12" s="2" t="s">
        <v>1121</v>
      </c>
      <c r="W12" s="77">
        <v>22</v>
      </c>
      <c r="X12" s="77">
        <v>78838</v>
      </c>
      <c r="Y12" s="77">
        <v>84796</v>
      </c>
      <c r="Z12" s="1" t="s">
        <v>750</v>
      </c>
      <c r="AA12" s="2" t="s">
        <v>912</v>
      </c>
      <c r="AB12" s="1" t="s">
        <v>386</v>
      </c>
      <c r="AC12" s="1" t="s">
        <v>387</v>
      </c>
    </row>
    <row r="14" spans="1:29">
      <c r="A14" s="6" t="s">
        <v>3334</v>
      </c>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row>
    <row r="15" spans="1:29" s="78" customFormat="1">
      <c r="A15" s="78" t="s">
        <v>3336</v>
      </c>
      <c r="B15" s="2"/>
      <c r="C15" s="2"/>
      <c r="D15" s="2"/>
      <c r="E15" s="2"/>
      <c r="F15" s="2"/>
      <c r="G15" s="2"/>
      <c r="H15" s="2"/>
      <c r="I15" s="2"/>
      <c r="J15" s="2"/>
      <c r="K15" s="2"/>
      <c r="L15" s="2"/>
      <c r="M15" s="2"/>
      <c r="N15" s="2"/>
      <c r="O15" s="2"/>
      <c r="P15" s="2"/>
      <c r="Q15" s="2"/>
      <c r="R15" s="2"/>
      <c r="S15" s="2"/>
      <c r="T15" s="2"/>
      <c r="U15" s="2"/>
      <c r="V15" s="2"/>
      <c r="W15" s="2"/>
      <c r="X15" s="2"/>
      <c r="Y15" s="2"/>
      <c r="Z15" s="2"/>
      <c r="AA15" s="2"/>
      <c r="AB15" s="5"/>
      <c r="AC15" s="2"/>
    </row>
    <row r="16" spans="1:29" s="63" customFormat="1">
      <c r="A16" s="6" t="s">
        <v>2986</v>
      </c>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row>
    <row r="17" spans="1:29">
      <c r="A17" s="2">
        <v>43423</v>
      </c>
      <c r="B17" s="2" t="s">
        <v>297</v>
      </c>
      <c r="C17" s="2" t="s">
        <v>119</v>
      </c>
      <c r="D17" s="22" t="s">
        <v>2326</v>
      </c>
      <c r="E17" s="8" t="str">
        <f>HYPERLINK("https://stat100.ameba.jp/tnk47/ratio20/illustrations/card/ill_43423_nipoponingyo03.jpg", "■")</f>
        <v>■</v>
      </c>
      <c r="F17" s="2" t="s">
        <v>715</v>
      </c>
      <c r="G17" s="2"/>
      <c r="H17" s="2"/>
      <c r="I17" s="2"/>
      <c r="J17" s="2"/>
      <c r="K17" s="2"/>
      <c r="L17" s="2"/>
      <c r="M17" s="2"/>
      <c r="N17" s="2"/>
      <c r="O17" s="2"/>
      <c r="P17" s="2"/>
      <c r="Q17" s="2"/>
      <c r="R17" s="2"/>
      <c r="S17" s="2"/>
      <c r="T17" s="2"/>
      <c r="U17" s="2"/>
      <c r="V17" s="1" t="s">
        <v>1107</v>
      </c>
      <c r="W17" s="77">
        <v>22</v>
      </c>
      <c r="X17" s="77">
        <v>78838</v>
      </c>
      <c r="Y17" s="77">
        <v>84796</v>
      </c>
      <c r="Z17" s="2" t="s">
        <v>714</v>
      </c>
      <c r="AA17" s="2" t="s">
        <v>901</v>
      </c>
      <c r="AB17" s="1" t="s">
        <v>371</v>
      </c>
      <c r="AC17" s="1" t="s">
        <v>372</v>
      </c>
    </row>
    <row r="18" spans="1:29">
      <c r="A18" s="2">
        <v>53243</v>
      </c>
      <c r="B18" s="2" t="s">
        <v>303</v>
      </c>
      <c r="C18" s="2" t="s">
        <v>169</v>
      </c>
      <c r="D18" s="22" t="s">
        <v>2327</v>
      </c>
      <c r="E18" s="8" t="str">
        <f>HYPERLINK("https://stat100.ameba.jp/tnk47/ratio20/illustrations/card/ill_53243_bodowanhakase03.jpg", "■")</f>
        <v>■</v>
      </c>
      <c r="F18" s="2" t="s">
        <v>727</v>
      </c>
      <c r="G18" s="2"/>
      <c r="H18" s="2"/>
      <c r="I18" s="2"/>
      <c r="J18" s="2"/>
      <c r="K18" s="2"/>
      <c r="L18" s="2"/>
      <c r="M18" s="2"/>
      <c r="N18" s="2"/>
      <c r="O18" s="2"/>
      <c r="P18" s="2"/>
      <c r="Q18" s="2"/>
      <c r="R18" s="2"/>
      <c r="S18" s="2"/>
      <c r="T18" s="2"/>
      <c r="U18" s="2"/>
      <c r="V18" s="1" t="s">
        <v>1108</v>
      </c>
      <c r="W18" s="77">
        <v>22</v>
      </c>
      <c r="X18" s="77">
        <v>78838</v>
      </c>
      <c r="Y18" s="77">
        <v>84796</v>
      </c>
      <c r="Z18" s="1" t="s">
        <v>726</v>
      </c>
      <c r="AA18" s="2" t="s">
        <v>902</v>
      </c>
      <c r="AB18" s="1" t="s">
        <v>371</v>
      </c>
      <c r="AC18" s="1" t="s">
        <v>372</v>
      </c>
    </row>
    <row r="19" spans="1:29">
      <c r="A19" s="2">
        <v>53253</v>
      </c>
      <c r="B19" s="2" t="s">
        <v>306</v>
      </c>
      <c r="C19" s="2" t="s">
        <v>154</v>
      </c>
      <c r="D19" s="22" t="s">
        <v>2328</v>
      </c>
      <c r="E19" s="8" t="str">
        <f>HYPERLINK("https://stat100.ameba.jp/tnk47/ratio20/illustrations/card/ill_53253_saruonidensetsu03.jpg", "■")</f>
        <v>■</v>
      </c>
      <c r="F19" s="2" t="s">
        <v>730</v>
      </c>
      <c r="G19" s="2"/>
      <c r="H19" s="2"/>
      <c r="I19" s="2"/>
      <c r="J19" s="2"/>
      <c r="K19" s="2"/>
      <c r="L19" s="2"/>
      <c r="M19" s="2"/>
      <c r="N19" s="2"/>
      <c r="O19" s="2"/>
      <c r="P19" s="2"/>
      <c r="Q19" s="2"/>
      <c r="R19" s="2"/>
      <c r="S19" s="2"/>
      <c r="T19" s="2"/>
      <c r="U19" s="2"/>
      <c r="V19" s="1" t="s">
        <v>1108</v>
      </c>
      <c r="W19" s="77">
        <v>22</v>
      </c>
      <c r="X19" s="77">
        <v>84796</v>
      </c>
      <c r="Y19" s="77">
        <v>78838</v>
      </c>
      <c r="Z19" s="2" t="s">
        <v>731</v>
      </c>
      <c r="AA19" s="2" t="s">
        <v>903</v>
      </c>
      <c r="AB19" s="1" t="s">
        <v>371</v>
      </c>
      <c r="AC19" s="1" t="s">
        <v>372</v>
      </c>
    </row>
    <row r="20" spans="1:29">
      <c r="A20" s="2">
        <v>46523</v>
      </c>
      <c r="B20" s="2" t="s">
        <v>310</v>
      </c>
      <c r="C20" s="2" t="s">
        <v>59</v>
      </c>
      <c r="D20" s="22" t="s">
        <v>3299</v>
      </c>
      <c r="E20" s="8" t="str">
        <f>HYPERLINK("https://stat100.ameba.jp/tnk47/ratio20/illustrations/card/ill_46523_rokkakuyoshikata03.jpg", "■")</f>
        <v>■</v>
      </c>
      <c r="F20" s="2" t="s">
        <v>737</v>
      </c>
      <c r="G20" s="2"/>
      <c r="H20" s="2"/>
      <c r="I20" s="2"/>
      <c r="J20" s="2"/>
      <c r="K20" s="2"/>
      <c r="L20" s="2"/>
      <c r="M20" s="2"/>
      <c r="N20" s="2"/>
      <c r="O20" s="2"/>
      <c r="P20" s="2"/>
      <c r="Q20" s="2"/>
      <c r="R20" s="2"/>
      <c r="S20" s="2"/>
      <c r="T20" s="2"/>
      <c r="U20" s="2"/>
      <c r="V20" s="1" t="s">
        <v>1109</v>
      </c>
      <c r="W20" s="77">
        <v>22</v>
      </c>
      <c r="X20" s="77">
        <v>84796</v>
      </c>
      <c r="Y20" s="77">
        <v>78838</v>
      </c>
      <c r="Z20" s="1" t="s">
        <v>736</v>
      </c>
      <c r="AA20" s="2" t="s">
        <v>904</v>
      </c>
      <c r="AB20" s="1" t="s">
        <v>371</v>
      </c>
      <c r="AC20" s="1" t="s">
        <v>372</v>
      </c>
    </row>
    <row r="21" spans="1:29">
      <c r="A21" s="2">
        <v>53273</v>
      </c>
      <c r="B21" s="2" t="s">
        <v>313</v>
      </c>
      <c r="C21" s="2" t="s">
        <v>6</v>
      </c>
      <c r="D21" s="22" t="s">
        <v>2329</v>
      </c>
      <c r="E21" s="8" t="str">
        <f>HYPERLINK("https://stat100.ameba.jp/tnk47/ratio20/illustrations/card/ill_53273_anagomeshi03.jpg", "■")</f>
        <v>■</v>
      </c>
      <c r="F21" s="2" t="s">
        <v>711</v>
      </c>
      <c r="G21" s="2"/>
      <c r="H21" s="2"/>
      <c r="I21" s="2"/>
      <c r="J21" s="2"/>
      <c r="K21" s="2"/>
      <c r="L21" s="2"/>
      <c r="M21" s="2"/>
      <c r="N21" s="2"/>
      <c r="O21" s="2"/>
      <c r="P21" s="2"/>
      <c r="Q21" s="2"/>
      <c r="R21" s="2"/>
      <c r="S21" s="2"/>
      <c r="T21" s="2"/>
      <c r="U21" s="2"/>
      <c r="V21" s="1" t="s">
        <v>1110</v>
      </c>
      <c r="W21" s="77">
        <v>22</v>
      </c>
      <c r="X21" s="77">
        <v>78838</v>
      </c>
      <c r="Y21" s="77">
        <v>84796</v>
      </c>
      <c r="Z21" s="1" t="s">
        <v>710</v>
      </c>
      <c r="AA21" s="2" t="s">
        <v>905</v>
      </c>
      <c r="AB21" s="1" t="s">
        <v>371</v>
      </c>
      <c r="AC21" s="1" t="s">
        <v>372</v>
      </c>
    </row>
    <row r="22" spans="1:29">
      <c r="A22" s="2">
        <v>44683</v>
      </c>
      <c r="B22" s="2" t="s">
        <v>316</v>
      </c>
      <c r="C22" s="2" t="s">
        <v>123</v>
      </c>
      <c r="D22" s="22" t="s">
        <v>2330</v>
      </c>
      <c r="E22" s="8" t="str">
        <f>HYPERLINK("https://stat100.ameba.jp/tnk47/ratio20/illustrations/card/ill_44683_konsutanteinodorado03.jpg", "■")</f>
        <v>■</v>
      </c>
      <c r="F22" s="2" t="s">
        <v>755</v>
      </c>
      <c r="G22" s="2"/>
      <c r="H22" s="2"/>
      <c r="I22" s="2"/>
      <c r="J22" s="2"/>
      <c r="K22" s="2"/>
      <c r="L22" s="2"/>
      <c r="M22" s="2"/>
      <c r="N22" s="2"/>
      <c r="O22" s="2"/>
      <c r="P22" s="2"/>
      <c r="Q22" s="2"/>
      <c r="R22" s="2"/>
      <c r="S22" s="2"/>
      <c r="T22" s="2"/>
      <c r="U22" s="2"/>
      <c r="V22" s="1" t="s">
        <v>1111</v>
      </c>
      <c r="W22" s="77">
        <v>22</v>
      </c>
      <c r="X22" s="77">
        <v>84796</v>
      </c>
      <c r="Y22" s="77">
        <v>78838</v>
      </c>
      <c r="Z22" s="2" t="s">
        <v>754</v>
      </c>
      <c r="AA22" s="2" t="s">
        <v>906</v>
      </c>
      <c r="AB22" s="1" t="s">
        <v>371</v>
      </c>
      <c r="AC22" s="1" t="s">
        <v>372</v>
      </c>
    </row>
    <row r="24" spans="1:29">
      <c r="A24" s="6" t="s">
        <v>3334</v>
      </c>
      <c r="B24" s="2"/>
      <c r="C24" s="2"/>
      <c r="D24" s="2"/>
      <c r="E24" s="2"/>
      <c r="F24" s="2"/>
      <c r="G24" s="2"/>
      <c r="H24" s="2"/>
      <c r="I24" s="2"/>
      <c r="J24" s="2"/>
      <c r="K24" s="2"/>
      <c r="L24" s="2"/>
      <c r="M24" s="2"/>
      <c r="N24" s="2"/>
      <c r="O24" s="2"/>
      <c r="P24" s="2"/>
      <c r="Q24" s="2"/>
      <c r="R24" s="2"/>
      <c r="S24" s="2"/>
      <c r="T24" s="2"/>
      <c r="U24" s="2"/>
      <c r="V24" s="2"/>
      <c r="W24" s="2"/>
      <c r="X24" s="2"/>
      <c r="Y24" s="2"/>
      <c r="Z24" s="2"/>
      <c r="AA24" s="5"/>
      <c r="AB24" s="2"/>
      <c r="AC24" s="2"/>
    </row>
    <row r="25" spans="1:29" s="78" customFormat="1">
      <c r="A25" s="78" t="s">
        <v>3336</v>
      </c>
      <c r="B25" s="2"/>
      <c r="C25" s="2"/>
      <c r="D25" s="2"/>
      <c r="E25" s="2"/>
      <c r="F25" s="2"/>
      <c r="G25" s="2"/>
      <c r="H25" s="2"/>
      <c r="I25" s="2"/>
      <c r="J25" s="2"/>
      <c r="K25" s="2"/>
      <c r="L25" s="2"/>
      <c r="M25" s="2"/>
      <c r="N25" s="2"/>
      <c r="O25" s="2"/>
      <c r="P25" s="2"/>
      <c r="Q25" s="2"/>
      <c r="R25" s="2"/>
      <c r="S25" s="2"/>
      <c r="T25" s="2"/>
      <c r="U25" s="2"/>
      <c r="V25" s="2"/>
      <c r="W25" s="2"/>
      <c r="X25" s="2"/>
      <c r="Y25" s="2"/>
      <c r="Z25" s="2"/>
      <c r="AA25" s="2"/>
      <c r="AB25" s="5"/>
      <c r="AC25" s="2"/>
    </row>
    <row r="26" spans="1:29">
      <c r="A26" s="6" t="s">
        <v>794</v>
      </c>
      <c r="B26" s="2"/>
      <c r="C26" s="2"/>
      <c r="D26" s="2"/>
      <c r="E26" s="2"/>
      <c r="F26" s="2"/>
      <c r="G26" s="2"/>
      <c r="H26" s="2"/>
      <c r="I26" s="2"/>
      <c r="J26" s="2"/>
      <c r="K26" s="2"/>
      <c r="L26" s="2"/>
      <c r="M26" s="2"/>
      <c r="N26" s="2"/>
      <c r="O26" s="2"/>
      <c r="P26" s="2"/>
      <c r="Q26" s="2"/>
      <c r="R26" s="2"/>
      <c r="S26" s="2"/>
      <c r="T26" s="2"/>
      <c r="U26" s="2"/>
      <c r="V26" s="2"/>
      <c r="W26" s="2"/>
      <c r="X26" s="2"/>
      <c r="Y26" s="2"/>
      <c r="Z26" s="2"/>
      <c r="AA26" s="5"/>
      <c r="AB26" s="2"/>
      <c r="AC26" s="2"/>
    </row>
    <row r="27" spans="1:29">
      <c r="A27" s="2">
        <v>52363</v>
      </c>
      <c r="B27" s="2" t="s">
        <v>297</v>
      </c>
      <c r="C27" s="2" t="s">
        <v>67</v>
      </c>
      <c r="D27" s="22" t="s">
        <v>2331</v>
      </c>
      <c r="E27" s="8" t="str">
        <f>HYPERLINK("https://stat100.ameba.jp/tnk47/ratio20/illustrations/card/ill_52363_samaikurukamui03.jpg", "■")</f>
        <v>■</v>
      </c>
      <c r="F27" s="2" t="s">
        <v>712</v>
      </c>
      <c r="G27" s="2"/>
      <c r="H27" s="2"/>
      <c r="I27" s="2"/>
      <c r="J27" s="2"/>
      <c r="K27" s="2"/>
      <c r="L27" s="2"/>
      <c r="M27" s="2"/>
      <c r="N27" s="2"/>
      <c r="O27" s="2"/>
      <c r="P27" s="2"/>
      <c r="Q27" s="2"/>
      <c r="R27" s="2"/>
      <c r="S27" s="2"/>
      <c r="T27" s="2"/>
      <c r="U27" s="2"/>
      <c r="V27" s="1" t="s">
        <v>1112</v>
      </c>
      <c r="W27" s="77">
        <v>22</v>
      </c>
      <c r="X27" s="77">
        <v>78838</v>
      </c>
      <c r="Y27" s="77">
        <v>84796</v>
      </c>
      <c r="Z27" s="1" t="s">
        <v>713</v>
      </c>
      <c r="AA27" s="2" t="s">
        <v>895</v>
      </c>
      <c r="AB27" s="1" t="s">
        <v>371</v>
      </c>
      <c r="AC27" s="1" t="s">
        <v>372</v>
      </c>
    </row>
    <row r="28" spans="1:29">
      <c r="A28" s="2">
        <v>52373</v>
      </c>
      <c r="B28" s="2" t="s">
        <v>303</v>
      </c>
      <c r="C28" s="2" t="s">
        <v>149</v>
      </c>
      <c r="D28" s="22" t="s">
        <v>2332</v>
      </c>
      <c r="E28" s="8" t="str">
        <f>HYPERLINK("https://stat100.ameba.jp/tnk47/ratio20/illustrations/card/ill_52373_mitonattochan03.jpg", "■")</f>
        <v>■</v>
      </c>
      <c r="F28" s="2" t="s">
        <v>723</v>
      </c>
      <c r="G28" s="2"/>
      <c r="H28" s="2"/>
      <c r="I28" s="2"/>
      <c r="J28" s="2"/>
      <c r="K28" s="2"/>
      <c r="L28" s="2"/>
      <c r="M28" s="2"/>
      <c r="N28" s="2"/>
      <c r="O28" s="2"/>
      <c r="P28" s="2"/>
      <c r="Q28" s="2"/>
      <c r="R28" s="2"/>
      <c r="S28" s="2"/>
      <c r="T28" s="2"/>
      <c r="U28" s="2"/>
      <c r="V28" s="1" t="s">
        <v>1113</v>
      </c>
      <c r="W28" s="77">
        <v>22</v>
      </c>
      <c r="X28" s="77">
        <v>78838</v>
      </c>
      <c r="Y28" s="77">
        <v>84796</v>
      </c>
      <c r="Z28" s="2" t="s">
        <v>722</v>
      </c>
      <c r="AA28" s="2" t="s">
        <v>896</v>
      </c>
      <c r="AB28" s="1" t="s">
        <v>371</v>
      </c>
      <c r="AC28" s="1" t="s">
        <v>372</v>
      </c>
    </row>
    <row r="29" spans="1:29">
      <c r="A29" s="2">
        <v>52383</v>
      </c>
      <c r="B29" s="2" t="s">
        <v>306</v>
      </c>
      <c r="C29" s="2" t="s">
        <v>17</v>
      </c>
      <c r="D29" s="22" t="s">
        <v>2333</v>
      </c>
      <c r="E29" s="8" t="str">
        <f>HYPERLINK("https://stat100.ameba.jp/tnk47/ratio20/illustrations/card/ill_52383_asahime03.jpg", "■")</f>
        <v>■</v>
      </c>
      <c r="F29" s="2" t="s">
        <v>729</v>
      </c>
      <c r="G29" s="2"/>
      <c r="H29" s="2"/>
      <c r="I29" s="2"/>
      <c r="J29" s="2"/>
      <c r="K29" s="2"/>
      <c r="L29" s="2"/>
      <c r="M29" s="2"/>
      <c r="N29" s="2"/>
      <c r="O29" s="2"/>
      <c r="P29" s="2"/>
      <c r="Q29" s="2"/>
      <c r="R29" s="2"/>
      <c r="S29" s="2"/>
      <c r="T29" s="2"/>
      <c r="U29" s="2"/>
      <c r="V29" s="1" t="s">
        <v>1114</v>
      </c>
      <c r="W29" s="77">
        <v>22</v>
      </c>
      <c r="X29" s="77">
        <v>84796</v>
      </c>
      <c r="Y29" s="77">
        <v>78838</v>
      </c>
      <c r="Z29" s="2" t="s">
        <v>728</v>
      </c>
      <c r="AA29" s="2" t="s">
        <v>897</v>
      </c>
      <c r="AB29" s="1" t="s">
        <v>371</v>
      </c>
      <c r="AC29" s="1" t="s">
        <v>372</v>
      </c>
    </row>
    <row r="30" spans="1:29">
      <c r="A30" s="2">
        <v>52393</v>
      </c>
      <c r="B30" s="2" t="s">
        <v>310</v>
      </c>
      <c r="C30" s="2" t="s">
        <v>119</v>
      </c>
      <c r="D30" s="22" t="s">
        <v>3298</v>
      </c>
      <c r="E30" s="8" t="str">
        <f>HYPERLINK("https://stat100.ameba.jp/tnk47/ratio20/illustrations/card/ill_52393_biwakoonamazuchan03.jpg", "■")</f>
        <v>■</v>
      </c>
      <c r="F30" s="2" t="s">
        <v>739</v>
      </c>
      <c r="G30" s="2"/>
      <c r="H30" s="2"/>
      <c r="I30" s="2"/>
      <c r="J30" s="2"/>
      <c r="K30" s="2"/>
      <c r="L30" s="2"/>
      <c r="M30" s="2"/>
      <c r="N30" s="2"/>
      <c r="O30" s="2"/>
      <c r="P30" s="2"/>
      <c r="Q30" s="2"/>
      <c r="R30" s="2"/>
      <c r="S30" s="2"/>
      <c r="T30" s="2"/>
      <c r="U30" s="2"/>
      <c r="V30" s="2" t="s">
        <v>1115</v>
      </c>
      <c r="W30" s="77">
        <v>22</v>
      </c>
      <c r="X30" s="77">
        <v>84796</v>
      </c>
      <c r="Y30" s="77">
        <v>78838</v>
      </c>
      <c r="Z30" s="1" t="s">
        <v>738</v>
      </c>
      <c r="AA30" s="2" t="s">
        <v>898</v>
      </c>
      <c r="AB30" s="1" t="s">
        <v>371</v>
      </c>
      <c r="AC30" s="1" t="s">
        <v>372</v>
      </c>
    </row>
    <row r="31" spans="1:29">
      <c r="A31" s="2">
        <v>52403</v>
      </c>
      <c r="B31" s="2" t="s">
        <v>313</v>
      </c>
      <c r="C31" s="2" t="s">
        <v>74</v>
      </c>
      <c r="D31" s="22" t="s">
        <v>2334</v>
      </c>
      <c r="E31" s="8" t="str">
        <f>HYPERLINK("https://stat100.ameba.jp/tnk47/ratio20/illustrations/card/ill_52403_ryuto03.jpg", "■")</f>
        <v>■</v>
      </c>
      <c r="F31" s="2" t="s">
        <v>745</v>
      </c>
      <c r="G31" s="2"/>
      <c r="H31" s="2"/>
      <c r="I31" s="2"/>
      <c r="J31" s="2"/>
      <c r="K31" s="2"/>
      <c r="L31" s="2"/>
      <c r="M31" s="2"/>
      <c r="N31" s="2"/>
      <c r="O31" s="2"/>
      <c r="P31" s="2"/>
      <c r="Q31" s="2"/>
      <c r="R31" s="2"/>
      <c r="S31" s="2"/>
      <c r="T31" s="2"/>
      <c r="U31" s="2"/>
      <c r="V31" s="1" t="s">
        <v>1116</v>
      </c>
      <c r="W31" s="77">
        <v>22</v>
      </c>
      <c r="X31" s="77">
        <v>78838</v>
      </c>
      <c r="Y31" s="77">
        <v>84796</v>
      </c>
      <c r="Z31" s="1" t="s">
        <v>744</v>
      </c>
      <c r="AA31" s="2" t="s">
        <v>899</v>
      </c>
      <c r="AB31" s="1" t="s">
        <v>371</v>
      </c>
      <c r="AC31" s="1" t="s">
        <v>372</v>
      </c>
    </row>
    <row r="32" spans="1:29">
      <c r="A32" s="2">
        <v>52413</v>
      </c>
      <c r="B32" s="2" t="s">
        <v>316</v>
      </c>
      <c r="C32" s="2" t="s">
        <v>59</v>
      </c>
      <c r="D32" s="22" t="s">
        <v>3677</v>
      </c>
      <c r="E32" s="8" t="str">
        <f>HYPERLINK("https://stat100.ameba.jp/tnk47/ratio20/illustrations/card/ill_52413_ryuzojitakanobu03.jpg", "■")</f>
        <v>■</v>
      </c>
      <c r="F32" s="2" t="s">
        <v>756</v>
      </c>
      <c r="G32" s="2"/>
      <c r="H32" s="2"/>
      <c r="I32" s="2"/>
      <c r="J32" s="2"/>
      <c r="K32" s="2"/>
      <c r="L32" s="2"/>
      <c r="M32" s="2"/>
      <c r="N32" s="2"/>
      <c r="O32" s="2"/>
      <c r="P32" s="2"/>
      <c r="Q32" s="2"/>
      <c r="R32" s="2"/>
      <c r="S32" s="2"/>
      <c r="T32" s="2"/>
      <c r="U32" s="2"/>
      <c r="V32" s="1" t="s">
        <v>1110</v>
      </c>
      <c r="W32" s="77">
        <v>22</v>
      </c>
      <c r="X32" s="77">
        <v>84796</v>
      </c>
      <c r="Y32" s="77">
        <v>78838</v>
      </c>
      <c r="Z32" s="1" t="s">
        <v>3678</v>
      </c>
      <c r="AA32" s="2" t="s">
        <v>900</v>
      </c>
      <c r="AB32" s="1" t="s">
        <v>371</v>
      </c>
      <c r="AC32" s="1" t="s">
        <v>372</v>
      </c>
    </row>
    <row r="34" spans="1:29">
      <c r="A34" s="1" t="s">
        <v>3333</v>
      </c>
      <c r="B34" s="2"/>
      <c r="C34" s="2"/>
      <c r="D34" s="2"/>
      <c r="E34" s="2"/>
      <c r="F34" s="2"/>
      <c r="G34" s="2"/>
      <c r="H34" s="2"/>
      <c r="I34" s="2"/>
      <c r="J34" s="2"/>
      <c r="K34" s="2"/>
      <c r="L34" s="2"/>
      <c r="M34" s="2"/>
      <c r="N34" s="2"/>
      <c r="O34" s="2"/>
      <c r="P34" s="2"/>
      <c r="Q34" s="2"/>
      <c r="R34" s="2"/>
      <c r="S34" s="2"/>
      <c r="T34" s="2"/>
      <c r="U34" s="2"/>
      <c r="V34" s="2"/>
      <c r="W34" s="2"/>
      <c r="Z34" s="2"/>
      <c r="AA34" s="5"/>
      <c r="AB34" s="5"/>
      <c r="AC34" s="2"/>
    </row>
    <row r="35" spans="1:29" s="78" customFormat="1">
      <c r="A35" s="78" t="s">
        <v>3336</v>
      </c>
      <c r="B35" s="2"/>
      <c r="C35" s="2"/>
      <c r="D35" s="2"/>
      <c r="E35" s="2"/>
      <c r="F35" s="2"/>
      <c r="G35" s="2"/>
      <c r="H35" s="2"/>
      <c r="I35" s="2"/>
      <c r="J35" s="2"/>
      <c r="K35" s="2"/>
      <c r="L35" s="2"/>
      <c r="M35" s="2"/>
      <c r="N35" s="2"/>
      <c r="O35" s="2"/>
      <c r="P35" s="2"/>
      <c r="Q35" s="2"/>
      <c r="R35" s="2"/>
      <c r="S35" s="2"/>
      <c r="T35" s="2"/>
      <c r="U35" s="2"/>
      <c r="V35" s="2"/>
      <c r="W35" s="2"/>
      <c r="X35" s="2"/>
      <c r="Y35" s="2"/>
      <c r="Z35" s="2"/>
      <c r="AA35" s="2"/>
      <c r="AB35" s="5"/>
      <c r="AC35" s="2"/>
    </row>
    <row r="36" spans="1:29">
      <c r="A36" s="1" t="s">
        <v>793</v>
      </c>
      <c r="B36" s="2"/>
      <c r="C36" s="2"/>
      <c r="D36" s="2"/>
      <c r="E36" s="2"/>
      <c r="F36" s="2"/>
      <c r="G36" s="2"/>
      <c r="H36" s="2"/>
      <c r="I36" s="2"/>
      <c r="J36" s="2"/>
      <c r="K36" s="2"/>
      <c r="L36" s="2"/>
      <c r="M36" s="2"/>
      <c r="N36" s="2"/>
      <c r="O36" s="2"/>
      <c r="P36" s="2"/>
      <c r="Q36" s="2"/>
      <c r="R36" s="2"/>
      <c r="S36" s="2"/>
      <c r="T36" s="2"/>
      <c r="U36" s="2"/>
      <c r="V36" s="2"/>
      <c r="W36" s="2"/>
      <c r="X36" s="2"/>
      <c r="Y36" s="2"/>
      <c r="Z36" s="2"/>
      <c r="AA36" s="5"/>
      <c r="AB36" s="5"/>
      <c r="AC36" s="2"/>
    </row>
    <row r="37" spans="1:29">
      <c r="A37" s="2">
        <v>51343</v>
      </c>
      <c r="B37" s="2" t="s">
        <v>297</v>
      </c>
      <c r="C37" s="2" t="s">
        <v>87</v>
      </c>
      <c r="D37" s="22" t="s">
        <v>2320</v>
      </c>
      <c r="E37" s="8" t="str">
        <f>HYPERLINK("https://stat100.ameba.jp/tnk47/ratio20/illustrations/card/ill_51343_uorutauesuton03.jpg", "■")</f>
        <v>■</v>
      </c>
      <c r="F37" s="1" t="s">
        <v>373</v>
      </c>
      <c r="V37" s="1" t="s">
        <v>1101</v>
      </c>
      <c r="W37" s="1">
        <v>22</v>
      </c>
      <c r="X37" s="1">
        <v>84796</v>
      </c>
      <c r="Y37" s="1">
        <v>78838</v>
      </c>
      <c r="Z37" s="1" t="s">
        <v>374</v>
      </c>
      <c r="AA37" s="1" t="s">
        <v>889</v>
      </c>
      <c r="AB37" s="1" t="s">
        <v>371</v>
      </c>
      <c r="AC37" s="1" t="s">
        <v>372</v>
      </c>
    </row>
    <row r="38" spans="1:29">
      <c r="A38" s="2">
        <v>47483</v>
      </c>
      <c r="B38" s="2" t="s">
        <v>303</v>
      </c>
      <c r="C38" s="2" t="s">
        <v>154</v>
      </c>
      <c r="D38" s="22" t="s">
        <v>2321</v>
      </c>
      <c r="E38" s="8" t="str">
        <f>HYPERLINK("https://stat100.ameba.jp/tnk47/ratio20/illustrations/card/ill_47483_kinryunomai03.jpg", "■")</f>
        <v>■</v>
      </c>
      <c r="F38" s="1" t="s">
        <v>375</v>
      </c>
      <c r="V38" s="1" t="s">
        <v>1102</v>
      </c>
      <c r="W38" s="1">
        <v>22</v>
      </c>
      <c r="X38" s="1">
        <v>78838</v>
      </c>
      <c r="Y38" s="1">
        <v>84796</v>
      </c>
      <c r="Z38" s="1" t="s">
        <v>376</v>
      </c>
      <c r="AA38" s="2" t="s">
        <v>890</v>
      </c>
      <c r="AB38" s="1" t="s">
        <v>371</v>
      </c>
      <c r="AC38" s="1" t="s">
        <v>372</v>
      </c>
    </row>
    <row r="39" spans="1:29">
      <c r="A39" s="2">
        <v>51363</v>
      </c>
      <c r="B39" s="2" t="s">
        <v>306</v>
      </c>
      <c r="C39" s="2" t="s">
        <v>119</v>
      </c>
      <c r="D39" s="22" t="s">
        <v>2322</v>
      </c>
      <c r="E39" s="8" t="str">
        <f>HYPERLINK("https://stat100.ameba.jp/tnk47/ratio20/illustrations/card/ill_51363_onidaiko03.jpg", "■")</f>
        <v>■</v>
      </c>
      <c r="F39" s="1" t="s">
        <v>377</v>
      </c>
      <c r="V39" s="1" t="s">
        <v>1103</v>
      </c>
      <c r="W39" s="1">
        <v>22</v>
      </c>
      <c r="X39" s="1">
        <v>84796</v>
      </c>
      <c r="Y39" s="1">
        <v>78838</v>
      </c>
      <c r="Z39" s="1" t="s">
        <v>378</v>
      </c>
      <c r="AA39" s="2" t="s">
        <v>891</v>
      </c>
      <c r="AB39" s="1" t="s">
        <v>371</v>
      </c>
      <c r="AC39" s="1" t="s">
        <v>372</v>
      </c>
    </row>
    <row r="40" spans="1:29">
      <c r="A40" s="2">
        <v>51373</v>
      </c>
      <c r="B40" s="2" t="s">
        <v>379</v>
      </c>
      <c r="C40" s="2" t="s">
        <v>191</v>
      </c>
      <c r="D40" s="22" t="s">
        <v>2323</v>
      </c>
      <c r="E40" s="8" t="str">
        <f>HYPERLINK("https://stat100.ameba.jp/tnk47/ratio20/illustrations/card/ill_51373_ushirogami03.jpg", "■")</f>
        <v>■</v>
      </c>
      <c r="F40" s="1" t="s">
        <v>380</v>
      </c>
      <c r="V40" s="1" t="s">
        <v>1104</v>
      </c>
      <c r="W40" s="1">
        <v>22</v>
      </c>
      <c r="X40" s="1">
        <v>84796</v>
      </c>
      <c r="Y40" s="1">
        <v>78838</v>
      </c>
      <c r="Z40" s="1" t="s">
        <v>381</v>
      </c>
      <c r="AA40" s="2" t="s">
        <v>892</v>
      </c>
      <c r="AB40" s="1" t="s">
        <v>371</v>
      </c>
      <c r="AC40" s="1" t="s">
        <v>372</v>
      </c>
    </row>
    <row r="41" spans="1:29">
      <c r="A41" s="2">
        <v>49373</v>
      </c>
      <c r="B41" s="2" t="s">
        <v>313</v>
      </c>
      <c r="C41" s="2" t="s">
        <v>59</v>
      </c>
      <c r="D41" s="22" t="s">
        <v>2324</v>
      </c>
      <c r="E41" s="8" t="str">
        <f>HYPERLINK("https://stat100.ameba.jp/tnk47/ratio20/illustrations/card/ill_49373_murakamitakeyoshi03.jpg", "■")</f>
        <v>■</v>
      </c>
      <c r="F41" s="1" t="s">
        <v>382</v>
      </c>
      <c r="V41" s="1" t="s">
        <v>1105</v>
      </c>
      <c r="W41" s="1">
        <v>22</v>
      </c>
      <c r="X41" s="1">
        <v>78838</v>
      </c>
      <c r="Y41" s="1">
        <v>84796</v>
      </c>
      <c r="Z41" s="1" t="s">
        <v>383</v>
      </c>
      <c r="AA41" s="2" t="s">
        <v>893</v>
      </c>
      <c r="AB41" s="1" t="s">
        <v>371</v>
      </c>
      <c r="AC41" s="1" t="s">
        <v>372</v>
      </c>
    </row>
    <row r="42" spans="1:29">
      <c r="A42" s="2">
        <v>51393</v>
      </c>
      <c r="B42" s="2" t="s">
        <v>316</v>
      </c>
      <c r="C42" s="2" t="s">
        <v>123</v>
      </c>
      <c r="D42" s="22" t="s">
        <v>2325</v>
      </c>
      <c r="E42" s="8" t="str">
        <f>HYPERLINK("https://stat100.ameba.jp/tnk47/ratio20/illustrations/card/ill_51393_yumenokyusaku03.jpg", "■")</f>
        <v>■</v>
      </c>
      <c r="F42" s="1" t="s">
        <v>384</v>
      </c>
      <c r="V42" s="1" t="s">
        <v>1106</v>
      </c>
      <c r="W42" s="1">
        <v>22</v>
      </c>
      <c r="X42" s="1">
        <v>78838</v>
      </c>
      <c r="Y42" s="1">
        <v>84796</v>
      </c>
      <c r="Z42" s="1" t="s">
        <v>385</v>
      </c>
      <c r="AA42" s="2" t="s">
        <v>894</v>
      </c>
      <c r="AB42" s="1" t="s">
        <v>371</v>
      </c>
      <c r="AC42" s="1" t="s">
        <v>372</v>
      </c>
    </row>
    <row r="44" spans="1:29">
      <c r="A44" s="1" t="s">
        <v>3332</v>
      </c>
      <c r="B44" s="2"/>
      <c r="C44" s="2"/>
      <c r="D44" s="2"/>
      <c r="E44" s="2"/>
      <c r="F44" s="2"/>
      <c r="G44" s="2"/>
      <c r="H44" s="2"/>
      <c r="I44" s="2"/>
      <c r="J44" s="2"/>
      <c r="K44" s="2"/>
      <c r="L44" s="2"/>
      <c r="M44" s="2"/>
      <c r="N44" s="2"/>
      <c r="O44" s="2"/>
      <c r="P44" s="2"/>
      <c r="Q44" s="2"/>
      <c r="R44" s="2"/>
      <c r="S44" s="2"/>
      <c r="T44" s="2"/>
      <c r="U44" s="2"/>
      <c r="V44" s="2"/>
      <c r="W44" s="2"/>
      <c r="X44" s="2"/>
      <c r="Y44" s="2"/>
      <c r="Z44" s="2"/>
      <c r="AA44" s="5"/>
      <c r="AB44" s="5"/>
      <c r="AC44" s="2"/>
    </row>
    <row r="45" spans="1:29" s="78" customFormat="1">
      <c r="A45" s="78" t="s">
        <v>3336</v>
      </c>
      <c r="B45" s="2"/>
      <c r="C45" s="2"/>
      <c r="D45" s="2"/>
      <c r="E45" s="2"/>
      <c r="F45" s="2"/>
      <c r="G45" s="2"/>
      <c r="H45" s="2"/>
      <c r="I45" s="2"/>
      <c r="J45" s="2"/>
      <c r="K45" s="2"/>
      <c r="L45" s="2"/>
      <c r="M45" s="2"/>
      <c r="N45" s="2"/>
      <c r="O45" s="2"/>
      <c r="P45" s="2"/>
      <c r="Q45" s="2"/>
      <c r="R45" s="2"/>
      <c r="S45" s="2"/>
      <c r="T45" s="2"/>
      <c r="U45" s="2"/>
      <c r="V45" s="2"/>
      <c r="W45" s="2"/>
      <c r="X45" s="2"/>
      <c r="Y45" s="2"/>
      <c r="Z45" s="2"/>
      <c r="AA45" s="2"/>
      <c r="AB45" s="5"/>
      <c r="AC45" s="2"/>
    </row>
    <row r="46" spans="1:29">
      <c r="A46" s="1" t="s">
        <v>792</v>
      </c>
      <c r="B46" s="2"/>
      <c r="C46" s="2"/>
      <c r="D46" s="2"/>
      <c r="E46" s="2"/>
      <c r="F46" s="2"/>
      <c r="G46" s="2"/>
      <c r="H46" s="2"/>
      <c r="I46" s="2"/>
      <c r="J46" s="2"/>
      <c r="K46" s="2"/>
      <c r="L46" s="2"/>
      <c r="M46" s="2"/>
      <c r="N46" s="2"/>
      <c r="O46" s="2"/>
      <c r="P46" s="2"/>
      <c r="Q46" s="2"/>
      <c r="R46" s="2"/>
      <c r="S46" s="2"/>
      <c r="T46" s="2"/>
      <c r="U46" s="2"/>
      <c r="V46" s="2"/>
      <c r="W46" s="2"/>
      <c r="X46" s="2"/>
      <c r="Y46" s="2"/>
      <c r="Z46" s="2"/>
      <c r="AA46" s="5"/>
      <c r="AB46" s="5"/>
      <c r="AC46" s="2"/>
    </row>
    <row r="47" spans="1:29">
      <c r="A47" s="2">
        <v>58363</v>
      </c>
      <c r="B47" s="2" t="s">
        <v>297</v>
      </c>
      <c r="C47" s="2" t="s">
        <v>149</v>
      </c>
      <c r="D47" s="22" t="s">
        <v>2315</v>
      </c>
      <c r="E47" s="8" t="str">
        <f>HYPERLINK("https://stat100.ameba.jp/tnk47/ratio20/illustrations/card/ill_58363_tomorokoshichan03.jpg", "■")</f>
        <v>■</v>
      </c>
      <c r="F47" s="2" t="s">
        <v>719</v>
      </c>
      <c r="G47" s="2"/>
      <c r="H47" s="2"/>
      <c r="I47" s="2"/>
      <c r="J47" s="2"/>
      <c r="K47" s="2"/>
      <c r="L47" s="2"/>
      <c r="M47" s="2"/>
      <c r="N47" s="2"/>
      <c r="O47" s="2"/>
      <c r="P47" s="2"/>
      <c r="Q47" s="2"/>
      <c r="R47" s="2"/>
      <c r="S47" s="2"/>
      <c r="T47" s="2"/>
      <c r="U47" s="2"/>
      <c r="V47" s="1" t="s">
        <v>1096</v>
      </c>
      <c r="W47" s="77">
        <v>22</v>
      </c>
      <c r="X47" s="77">
        <v>78838</v>
      </c>
      <c r="Y47" s="77">
        <v>84796</v>
      </c>
      <c r="Z47" s="1" t="s">
        <v>718</v>
      </c>
      <c r="AA47" s="2" t="s">
        <v>883</v>
      </c>
      <c r="AB47" s="1" t="s">
        <v>371</v>
      </c>
      <c r="AC47" s="1" t="s">
        <v>372</v>
      </c>
    </row>
    <row r="48" spans="1:29">
      <c r="A48" s="2">
        <v>59453</v>
      </c>
      <c r="B48" s="2" t="s">
        <v>303</v>
      </c>
      <c r="C48" s="2" t="s">
        <v>67</v>
      </c>
      <c r="D48" s="22" t="s">
        <v>2316</v>
      </c>
      <c r="E48" s="8" t="str">
        <f>HYPERLINK("https://stat100.ameba.jp/tnk47/ratio20/illustrations/card/ill_59453_kandamyojin03.jpg", "■")</f>
        <v>■</v>
      </c>
      <c r="F48" s="2" t="s">
        <v>725</v>
      </c>
      <c r="G48" s="2"/>
      <c r="H48" s="2"/>
      <c r="I48" s="2"/>
      <c r="J48" s="2"/>
      <c r="K48" s="2"/>
      <c r="L48" s="2"/>
      <c r="M48" s="2"/>
      <c r="N48" s="2"/>
      <c r="O48" s="2"/>
      <c r="P48" s="2"/>
      <c r="Q48" s="2"/>
      <c r="R48" s="2"/>
      <c r="S48" s="2"/>
      <c r="T48" s="2"/>
      <c r="U48" s="2"/>
      <c r="V48" s="1" t="s">
        <v>1097</v>
      </c>
      <c r="W48" s="77">
        <v>22</v>
      </c>
      <c r="X48" s="77">
        <v>84796</v>
      </c>
      <c r="Y48" s="77">
        <v>78838</v>
      </c>
      <c r="Z48" s="1" t="s">
        <v>724</v>
      </c>
      <c r="AA48" s="2" t="s">
        <v>884</v>
      </c>
      <c r="AB48" s="1" t="s">
        <v>371</v>
      </c>
      <c r="AC48" s="1" t="s">
        <v>372</v>
      </c>
    </row>
    <row r="49" spans="1:29">
      <c r="A49" s="2">
        <v>59463</v>
      </c>
      <c r="B49" s="2" t="s">
        <v>306</v>
      </c>
      <c r="C49" s="2" t="s">
        <v>59</v>
      </c>
      <c r="D49" s="22" t="s">
        <v>2317</v>
      </c>
      <c r="E49" s="8" t="str">
        <f>HYPERLINK("https://stat100.ameba.jp/tnk47/ratio20/illustrations/card/ill_59463_kondokuranosuke03.jpg", "■")</f>
        <v>■</v>
      </c>
      <c r="F49" s="2" t="s">
        <v>735</v>
      </c>
      <c r="G49" s="2"/>
      <c r="H49" s="2"/>
      <c r="I49" s="2"/>
      <c r="J49" s="2"/>
      <c r="K49" s="2"/>
      <c r="L49" s="2"/>
      <c r="M49" s="2"/>
      <c r="N49" s="2"/>
      <c r="O49" s="2"/>
      <c r="P49" s="2"/>
      <c r="Q49" s="2"/>
      <c r="R49" s="2"/>
      <c r="S49" s="2"/>
      <c r="T49" s="2"/>
      <c r="U49" s="2"/>
      <c r="V49" s="1" t="s">
        <v>1098</v>
      </c>
      <c r="W49" s="77">
        <v>22</v>
      </c>
      <c r="X49" s="77">
        <v>78838</v>
      </c>
      <c r="Y49" s="77">
        <v>84796</v>
      </c>
      <c r="Z49" s="1" t="s">
        <v>734</v>
      </c>
      <c r="AA49" s="2" t="s">
        <v>885</v>
      </c>
      <c r="AB49" s="1" t="s">
        <v>371</v>
      </c>
      <c r="AC49" s="1" t="s">
        <v>372</v>
      </c>
    </row>
    <row r="50" spans="1:29">
      <c r="A50" s="2">
        <v>59473</v>
      </c>
      <c r="B50" s="2" t="s">
        <v>310</v>
      </c>
      <c r="C50" s="2" t="s">
        <v>123</v>
      </c>
      <c r="D50" s="22" t="s">
        <v>2318</v>
      </c>
      <c r="E50" s="8" t="str">
        <f>HYPERLINK("https://stat100.ameba.jp/tnk47/ratio20/illustrations/card/ill_59473_nakaharachuya03.jpg", "■")</f>
        <v>■</v>
      </c>
      <c r="F50" s="2" t="s">
        <v>743</v>
      </c>
      <c r="G50" s="2"/>
      <c r="H50" s="2"/>
      <c r="I50" s="2"/>
      <c r="J50" s="2"/>
      <c r="K50" s="2"/>
      <c r="L50" s="2"/>
      <c r="M50" s="2"/>
      <c r="N50" s="2"/>
      <c r="O50" s="2"/>
      <c r="P50" s="2"/>
      <c r="Q50" s="2"/>
      <c r="R50" s="2"/>
      <c r="S50" s="2"/>
      <c r="T50" s="2"/>
      <c r="U50" s="2"/>
      <c r="V50" s="1" t="s">
        <v>1099</v>
      </c>
      <c r="W50" s="77">
        <v>22</v>
      </c>
      <c r="X50" s="77">
        <v>78838</v>
      </c>
      <c r="Y50" s="77">
        <v>84796</v>
      </c>
      <c r="Z50" s="1" t="s">
        <v>742</v>
      </c>
      <c r="AA50" s="2" t="s">
        <v>886</v>
      </c>
      <c r="AB50" s="1" t="s">
        <v>371</v>
      </c>
      <c r="AC50" s="1" t="s">
        <v>372</v>
      </c>
    </row>
    <row r="51" spans="1:29">
      <c r="A51" s="2">
        <v>58383</v>
      </c>
      <c r="B51" s="2" t="s">
        <v>313</v>
      </c>
      <c r="C51" s="2" t="s">
        <v>154</v>
      </c>
      <c r="D51" s="22" t="s">
        <v>2319</v>
      </c>
      <c r="E51" s="8" t="str">
        <f>HYPERLINK("https://stat100.ameba.jp/tnk47/ratio20/illustrations/card/ill_58383_meitokisembamaru03.jpg", "■")</f>
        <v>■</v>
      </c>
      <c r="F51" s="2" t="s">
        <v>747</v>
      </c>
      <c r="G51" s="2"/>
      <c r="H51" s="2"/>
      <c r="I51" s="2"/>
      <c r="J51" s="2"/>
      <c r="K51" s="2"/>
      <c r="L51" s="2"/>
      <c r="M51" s="2"/>
      <c r="N51" s="2"/>
      <c r="O51" s="2"/>
      <c r="P51" s="2"/>
      <c r="Q51" s="2"/>
      <c r="R51" s="2"/>
      <c r="S51" s="2"/>
      <c r="T51" s="2"/>
      <c r="U51" s="2"/>
      <c r="V51" s="1" t="s">
        <v>1100</v>
      </c>
      <c r="W51" s="77">
        <v>22</v>
      </c>
      <c r="X51" s="77">
        <v>84796</v>
      </c>
      <c r="Y51" s="77">
        <v>78838</v>
      </c>
      <c r="Z51" s="1" t="s">
        <v>746</v>
      </c>
      <c r="AA51" s="2" t="s">
        <v>887</v>
      </c>
      <c r="AB51" s="1" t="s">
        <v>371</v>
      </c>
      <c r="AC51" s="1" t="s">
        <v>372</v>
      </c>
    </row>
    <row r="52" spans="1:29">
      <c r="A52" s="2">
        <v>58373</v>
      </c>
      <c r="B52" s="2" t="s">
        <v>316</v>
      </c>
      <c r="C52" s="2" t="s">
        <v>74</v>
      </c>
      <c r="D52" s="22" t="s">
        <v>2996</v>
      </c>
      <c r="E52" s="8" t="str">
        <f>HYPERLINK("https://stat100.ameba.jp/tnk47/ratio20/illustrations/card/ill_58373_juriguwamajimun03.jpg", "■")</f>
        <v>■</v>
      </c>
      <c r="F52" s="1" t="s">
        <v>753</v>
      </c>
      <c r="G52" s="14"/>
      <c r="V52" s="1" t="s">
        <v>3662</v>
      </c>
      <c r="W52" s="77">
        <v>22</v>
      </c>
      <c r="X52" s="77">
        <v>84796</v>
      </c>
      <c r="Y52" s="77">
        <v>78838</v>
      </c>
      <c r="Z52" s="1" t="s">
        <v>752</v>
      </c>
      <c r="AA52" s="2" t="s">
        <v>888</v>
      </c>
      <c r="AB52" s="1" t="s">
        <v>371</v>
      </c>
      <c r="AC52" s="1" t="s">
        <v>372</v>
      </c>
    </row>
    <row r="54" spans="1:29">
      <c r="A54" s="1" t="s">
        <v>3332</v>
      </c>
      <c r="B54" s="2"/>
      <c r="C54" s="2"/>
      <c r="D54" s="2"/>
      <c r="E54" s="2"/>
      <c r="F54" s="2"/>
      <c r="G54" s="2"/>
      <c r="H54" s="2"/>
      <c r="I54" s="2"/>
      <c r="J54" s="2"/>
      <c r="K54" s="2"/>
      <c r="L54" s="2"/>
      <c r="M54" s="2"/>
      <c r="N54" s="2"/>
      <c r="O54" s="2"/>
      <c r="P54" s="2"/>
      <c r="Q54" s="2"/>
      <c r="R54" s="2"/>
      <c r="S54" s="2"/>
      <c r="T54" s="2"/>
      <c r="U54" s="2"/>
      <c r="V54" s="2"/>
      <c r="W54" s="2"/>
      <c r="X54" s="2"/>
      <c r="Y54" s="2"/>
      <c r="Z54" s="2"/>
      <c r="AA54" s="5"/>
      <c r="AB54" s="5"/>
      <c r="AC54" s="2"/>
    </row>
    <row r="55" spans="1:29" s="78" customFormat="1">
      <c r="A55" s="78" t="s">
        <v>3336</v>
      </c>
      <c r="B55" s="2"/>
      <c r="C55" s="2"/>
      <c r="D55" s="2"/>
      <c r="E55" s="2"/>
      <c r="F55" s="2"/>
      <c r="G55" s="2"/>
      <c r="H55" s="2"/>
      <c r="I55" s="2"/>
      <c r="J55" s="2"/>
      <c r="K55" s="2"/>
      <c r="L55" s="2"/>
      <c r="M55" s="2"/>
      <c r="N55" s="2"/>
      <c r="O55" s="2"/>
      <c r="P55" s="2"/>
      <c r="Q55" s="2"/>
      <c r="R55" s="2"/>
      <c r="S55" s="2"/>
      <c r="T55" s="2"/>
      <c r="U55" s="2"/>
      <c r="V55" s="2"/>
      <c r="W55" s="2"/>
      <c r="X55" s="2"/>
      <c r="Y55" s="2"/>
      <c r="Z55" s="2"/>
      <c r="AA55" s="2"/>
      <c r="AB55" s="5"/>
      <c r="AC55" s="2"/>
    </row>
    <row r="56" spans="1:29">
      <c r="A56" s="1" t="s">
        <v>791</v>
      </c>
      <c r="B56" s="2"/>
      <c r="C56" s="2"/>
      <c r="D56" s="2"/>
      <c r="E56" s="2"/>
      <c r="F56" s="2"/>
      <c r="G56" s="2"/>
      <c r="H56" s="2"/>
      <c r="I56" s="2"/>
      <c r="J56" s="2"/>
      <c r="K56" s="2"/>
      <c r="L56" s="2"/>
      <c r="M56" s="2"/>
      <c r="N56" s="2"/>
      <c r="O56" s="2"/>
      <c r="P56" s="2"/>
      <c r="Q56" s="2"/>
      <c r="R56" s="2"/>
      <c r="S56" s="2"/>
      <c r="T56" s="2"/>
      <c r="U56" s="2"/>
      <c r="V56" s="2"/>
      <c r="W56" s="2"/>
      <c r="X56" s="2"/>
      <c r="Y56" s="2"/>
      <c r="Z56" s="2"/>
      <c r="AA56" s="5"/>
      <c r="AB56" s="5"/>
      <c r="AC56" s="2"/>
    </row>
    <row r="57" spans="1:29">
      <c r="A57" s="2">
        <v>53233</v>
      </c>
      <c r="B57" s="2" t="s">
        <v>297</v>
      </c>
      <c r="C57" s="2" t="s">
        <v>59</v>
      </c>
      <c r="D57" s="22" t="s">
        <v>2310</v>
      </c>
      <c r="E57" s="8" t="str">
        <f>HYPERLINK("https://stat100.ameba.jp/tnk47/ratio20/illustrations/card/ill_53233_nambuharumasa03.jpg", "■")</f>
        <v>■</v>
      </c>
      <c r="F57" s="1" t="s">
        <v>517</v>
      </c>
      <c r="V57" s="1" t="s">
        <v>1091</v>
      </c>
      <c r="W57" s="1">
        <v>22</v>
      </c>
      <c r="X57" s="1">
        <v>100698</v>
      </c>
      <c r="Y57" s="1">
        <v>108306</v>
      </c>
      <c r="Z57" s="1" t="s">
        <v>518</v>
      </c>
      <c r="AA57" s="2" t="s">
        <v>877</v>
      </c>
      <c r="AB57" s="1" t="s">
        <v>371</v>
      </c>
      <c r="AC57" s="1" t="s">
        <v>372</v>
      </c>
    </row>
    <row r="58" spans="1:29">
      <c r="A58" s="2">
        <v>57283</v>
      </c>
      <c r="B58" s="2" t="s">
        <v>303</v>
      </c>
      <c r="C58" s="2" t="s">
        <v>209</v>
      </c>
      <c r="D58" s="22" t="s">
        <v>2311</v>
      </c>
      <c r="E58" s="8" t="str">
        <f>HYPERLINK("https://stat100.ameba.jp/tnk47/ratio20/illustrations/card/ill_57283_ashikagashimahime03.jpg", "■")</f>
        <v>■</v>
      </c>
      <c r="F58" s="1" t="s">
        <v>519</v>
      </c>
      <c r="V58" s="1" t="s">
        <v>1092</v>
      </c>
      <c r="W58" s="1">
        <v>22</v>
      </c>
      <c r="X58" s="1">
        <v>108306</v>
      </c>
      <c r="Y58" s="1">
        <v>100698</v>
      </c>
      <c r="Z58" s="1" t="s">
        <v>520</v>
      </c>
      <c r="AA58" s="2" t="s">
        <v>878</v>
      </c>
      <c r="AB58" s="1" t="s">
        <v>371</v>
      </c>
      <c r="AC58" s="1" t="s">
        <v>372</v>
      </c>
    </row>
    <row r="59" spans="1:29">
      <c r="A59" s="2">
        <v>64413</v>
      </c>
      <c r="B59" s="2" t="s">
        <v>306</v>
      </c>
      <c r="C59" s="2" t="s">
        <v>74</v>
      </c>
      <c r="D59" s="22" t="s">
        <v>2312</v>
      </c>
      <c r="E59" s="8" t="str">
        <f>HYPERLINK("https://stat100.ameba.jp/tnk47/ratio20/illustrations/card/ill_64413_kyuso03.jpg", "■")</f>
        <v>■</v>
      </c>
      <c r="F59" s="1" t="s">
        <v>521</v>
      </c>
      <c r="V59" s="1" t="s">
        <v>1093</v>
      </c>
      <c r="W59" s="1">
        <v>22</v>
      </c>
      <c r="X59" s="1">
        <v>100698</v>
      </c>
      <c r="Y59" s="1">
        <v>108306</v>
      </c>
      <c r="Z59" s="1" t="s">
        <v>522</v>
      </c>
      <c r="AA59" s="2" t="s">
        <v>879</v>
      </c>
      <c r="AB59" s="1" t="s">
        <v>371</v>
      </c>
      <c r="AC59" s="1" t="s">
        <v>372</v>
      </c>
    </row>
    <row r="60" spans="1:29">
      <c r="A60" s="2">
        <v>64423</v>
      </c>
      <c r="B60" s="2" t="s">
        <v>310</v>
      </c>
      <c r="C60" s="2" t="s">
        <v>6</v>
      </c>
      <c r="D60" s="22" t="s">
        <v>2313</v>
      </c>
      <c r="E60" s="8" t="str">
        <f>HYPERLINK("https://stat100.ameba.jp/tnk47/ratio20/illustrations/card/ill_64423_ankoromochi03.jpg", "■")</f>
        <v>■</v>
      </c>
      <c r="F60" s="1" t="s">
        <v>523</v>
      </c>
      <c r="V60" s="1" t="s">
        <v>1094</v>
      </c>
      <c r="W60" s="1">
        <v>22</v>
      </c>
      <c r="X60" s="1">
        <v>108306</v>
      </c>
      <c r="Y60" s="1">
        <v>100698</v>
      </c>
      <c r="Z60" s="1" t="s">
        <v>524</v>
      </c>
      <c r="AA60" s="2" t="s">
        <v>880</v>
      </c>
      <c r="AB60" s="1" t="s">
        <v>371</v>
      </c>
      <c r="AC60" s="1" t="s">
        <v>372</v>
      </c>
    </row>
    <row r="61" spans="1:29">
      <c r="A61" s="2">
        <v>61453</v>
      </c>
      <c r="B61" s="2" t="s">
        <v>313</v>
      </c>
      <c r="C61" s="2" t="s">
        <v>123</v>
      </c>
      <c r="D61" s="22" t="s">
        <v>2314</v>
      </c>
      <c r="E61" s="8" t="str">
        <f>HYPERLINK("https://stat100.ameba.jp/tnk47/ratio20/illustrations/card/ill_61453_hiragayuzuru03.jpg", "■")</f>
        <v>■</v>
      </c>
      <c r="F61" s="1" t="s">
        <v>525</v>
      </c>
      <c r="V61" s="1" t="s">
        <v>1095</v>
      </c>
      <c r="W61" s="1">
        <v>22</v>
      </c>
      <c r="X61" s="1">
        <v>108306</v>
      </c>
      <c r="Y61" s="1">
        <v>100698</v>
      </c>
      <c r="Z61" s="1" t="s">
        <v>526</v>
      </c>
      <c r="AA61" s="2" t="s">
        <v>881</v>
      </c>
      <c r="AB61" s="1" t="s">
        <v>371</v>
      </c>
      <c r="AC61" s="1" t="s">
        <v>372</v>
      </c>
    </row>
    <row r="62" spans="1:29">
      <c r="A62" s="2">
        <v>56013</v>
      </c>
      <c r="B62" s="2" t="s">
        <v>316</v>
      </c>
      <c r="C62" s="2" t="s">
        <v>169</v>
      </c>
      <c r="D62" s="22" t="s">
        <v>2997</v>
      </c>
      <c r="E62" s="8" t="str">
        <f>HYPERLINK("https://stat100.ameba.jp/tnk47/ratio20/illustrations/card/ill_56013_kitaharahakushu03.jpg", "■")</f>
        <v>■</v>
      </c>
      <c r="F62" s="1" t="s">
        <v>527</v>
      </c>
      <c r="H62" s="14"/>
      <c r="V62" s="1" t="s">
        <v>3611</v>
      </c>
      <c r="W62" s="1">
        <v>22</v>
      </c>
      <c r="X62" s="1">
        <v>100698</v>
      </c>
      <c r="Y62" s="1">
        <v>108306</v>
      </c>
      <c r="Z62" s="1" t="s">
        <v>528</v>
      </c>
      <c r="AA62" s="2" t="s">
        <v>882</v>
      </c>
      <c r="AB62" s="1" t="s">
        <v>371</v>
      </c>
      <c r="AC62" s="1" t="s">
        <v>372</v>
      </c>
    </row>
    <row r="64" spans="1:29">
      <c r="A64" s="1" t="s">
        <v>3331</v>
      </c>
      <c r="B64" s="2"/>
      <c r="C64" s="2"/>
      <c r="D64" s="2"/>
      <c r="E64" s="2"/>
      <c r="F64" s="2"/>
      <c r="G64" s="2"/>
      <c r="H64" s="2"/>
      <c r="I64" s="2"/>
      <c r="J64" s="2"/>
      <c r="K64" s="2"/>
      <c r="L64" s="2"/>
      <c r="M64" s="2"/>
      <c r="N64" s="2"/>
      <c r="O64" s="2"/>
      <c r="P64" s="2"/>
      <c r="Q64" s="2"/>
      <c r="R64" s="2"/>
      <c r="S64" s="2"/>
      <c r="T64" s="2"/>
      <c r="U64" s="2"/>
      <c r="V64" s="2"/>
      <c r="W64" s="2"/>
      <c r="X64" s="2"/>
      <c r="Y64" s="2"/>
      <c r="Z64" s="2"/>
      <c r="AA64" s="5"/>
      <c r="AB64" s="5"/>
      <c r="AC64" s="2"/>
    </row>
    <row r="65" spans="1:29" s="78" customFormat="1">
      <c r="A65" s="78" t="s">
        <v>3336</v>
      </c>
      <c r="B65" s="2"/>
      <c r="C65" s="2"/>
      <c r="D65" s="2"/>
      <c r="E65" s="2"/>
      <c r="F65" s="2"/>
      <c r="G65" s="2"/>
      <c r="H65" s="2"/>
      <c r="I65" s="2"/>
      <c r="J65" s="2"/>
      <c r="K65" s="2"/>
      <c r="L65" s="2"/>
      <c r="M65" s="2"/>
      <c r="N65" s="2"/>
      <c r="O65" s="2"/>
      <c r="P65" s="2"/>
      <c r="Q65" s="2"/>
      <c r="R65" s="2"/>
      <c r="S65" s="2"/>
      <c r="T65" s="2"/>
      <c r="U65" s="2"/>
      <c r="V65" s="2"/>
      <c r="W65" s="2"/>
      <c r="X65" s="2"/>
      <c r="Y65" s="2"/>
      <c r="Z65" s="2"/>
      <c r="AA65" s="2"/>
      <c r="AB65" s="5"/>
      <c r="AC65" s="2"/>
    </row>
    <row r="66" spans="1:29">
      <c r="A66" s="1" t="s">
        <v>1039</v>
      </c>
      <c r="B66" s="2"/>
      <c r="C66" s="2"/>
      <c r="D66" s="2"/>
      <c r="E66" s="2"/>
      <c r="F66" s="2"/>
      <c r="G66" s="2"/>
      <c r="H66" s="2"/>
      <c r="I66" s="2"/>
      <c r="J66" s="2"/>
      <c r="K66" s="2"/>
      <c r="L66" s="2"/>
      <c r="M66" s="2"/>
      <c r="N66" s="2"/>
      <c r="O66" s="2"/>
      <c r="P66" s="2"/>
      <c r="Q66" s="2"/>
      <c r="R66" s="2"/>
      <c r="S66" s="2"/>
      <c r="T66" s="2"/>
      <c r="U66" s="2"/>
      <c r="V66" s="2"/>
      <c r="W66" s="2"/>
      <c r="X66" s="2"/>
      <c r="Y66" s="2"/>
      <c r="Z66" s="2"/>
      <c r="AA66" s="5"/>
      <c r="AB66" s="5"/>
      <c r="AC66" s="2"/>
    </row>
    <row r="67" spans="1:29">
      <c r="A67" s="2">
        <v>66113</v>
      </c>
      <c r="B67" s="2" t="s">
        <v>297</v>
      </c>
      <c r="C67" s="2" t="s">
        <v>44</v>
      </c>
      <c r="D67" s="22" t="s">
        <v>2305</v>
      </c>
      <c r="E67" s="8" t="str">
        <f>HYPERLINK("https://stat100.ameba.jp/tnk47/ratio20/illustrations/card/ill_66113_shirarikahime03.jpg", "■")</f>
        <v>■</v>
      </c>
      <c r="F67" s="1" t="s">
        <v>359</v>
      </c>
      <c r="H67" s="2"/>
      <c r="J67" s="2"/>
      <c r="L67" s="2"/>
      <c r="N67" s="2"/>
      <c r="O67" s="2"/>
      <c r="P67" s="2"/>
      <c r="Q67" s="2"/>
      <c r="R67" s="2"/>
      <c r="S67" s="2"/>
      <c r="T67" s="2"/>
      <c r="U67" s="2"/>
      <c r="V67" s="1" t="s">
        <v>2938</v>
      </c>
      <c r="W67" s="1">
        <v>22</v>
      </c>
      <c r="X67" s="1">
        <v>108306</v>
      </c>
      <c r="Y67" s="1">
        <v>100698</v>
      </c>
      <c r="Z67" s="1" t="s">
        <v>360</v>
      </c>
      <c r="AA67" s="2" t="s">
        <v>871</v>
      </c>
      <c r="AB67" s="1" t="s">
        <v>322</v>
      </c>
      <c r="AC67" s="1" t="s">
        <v>323</v>
      </c>
    </row>
    <row r="68" spans="1:29">
      <c r="A68" s="2">
        <v>65383</v>
      </c>
      <c r="B68" s="2" t="s">
        <v>303</v>
      </c>
      <c r="C68" s="2" t="s">
        <v>119</v>
      </c>
      <c r="D68" s="22" t="s">
        <v>2306</v>
      </c>
      <c r="E68" s="8" t="str">
        <f>HYPERLINK("https://stat100.ameba.jp/tnk47/ratio20/illustrations/card/ill_65383_aogashimachan03.jpg", "■")</f>
        <v>■</v>
      </c>
      <c r="F68" s="1" t="s">
        <v>361</v>
      </c>
      <c r="G68" s="2"/>
      <c r="L68" s="2"/>
      <c r="N68" s="2"/>
      <c r="O68" s="2"/>
      <c r="P68" s="2"/>
      <c r="Q68" s="2"/>
      <c r="R68" s="2"/>
      <c r="S68" s="2"/>
      <c r="T68" s="2"/>
      <c r="U68" s="2"/>
      <c r="V68" s="1" t="s">
        <v>2940</v>
      </c>
      <c r="W68" s="1">
        <v>22</v>
      </c>
      <c r="X68" s="1">
        <v>100698</v>
      </c>
      <c r="Y68" s="1">
        <v>108306</v>
      </c>
      <c r="Z68" s="1" t="s">
        <v>362</v>
      </c>
      <c r="AA68" s="2" t="s">
        <v>872</v>
      </c>
      <c r="AB68" s="1" t="s">
        <v>322</v>
      </c>
      <c r="AC68" s="1" t="s">
        <v>323</v>
      </c>
    </row>
    <row r="69" spans="1:29">
      <c r="A69" s="2">
        <v>66123</v>
      </c>
      <c r="B69" s="2" t="s">
        <v>306</v>
      </c>
      <c r="C69" s="2" t="s">
        <v>123</v>
      </c>
      <c r="D69" s="22" t="s">
        <v>2307</v>
      </c>
      <c r="E69" s="8" t="str">
        <f>HYPERLINK("https://stat100.ameba.jp/tnk47/ratio20/illustrations/card/ill_66123_taikemmoninnohorikawa03.jpg", "■")</f>
        <v>■</v>
      </c>
      <c r="F69" s="1" t="s">
        <v>363</v>
      </c>
      <c r="H69" s="2"/>
      <c r="J69" s="2"/>
      <c r="K69" s="2"/>
      <c r="L69" s="2"/>
      <c r="M69" s="2"/>
      <c r="N69" s="2"/>
      <c r="O69" s="2"/>
      <c r="P69" s="2"/>
      <c r="Q69" s="2"/>
      <c r="R69" s="2"/>
      <c r="S69" s="2"/>
      <c r="T69" s="2"/>
      <c r="U69" s="2"/>
      <c r="V69" s="1" t="s">
        <v>1090</v>
      </c>
      <c r="W69" s="1">
        <v>22</v>
      </c>
      <c r="X69" s="1">
        <v>108306</v>
      </c>
      <c r="Y69" s="1">
        <v>100698</v>
      </c>
      <c r="Z69" s="1" t="s">
        <v>364</v>
      </c>
      <c r="AA69" s="2" t="s">
        <v>873</v>
      </c>
      <c r="AB69" s="1" t="s">
        <v>322</v>
      </c>
      <c r="AC69" s="1" t="s">
        <v>323</v>
      </c>
    </row>
    <row r="70" spans="1:29">
      <c r="A70" s="2">
        <v>66133</v>
      </c>
      <c r="B70" s="2" t="s">
        <v>310</v>
      </c>
      <c r="C70" s="2" t="s">
        <v>169</v>
      </c>
      <c r="D70" s="22" t="s">
        <v>2308</v>
      </c>
      <c r="E70" s="8" t="str">
        <f>HYPERLINK("https://stat100.ameba.jp/tnk47/ratio20/illustrations/card/ill_66133_iinaosuke03.jpg", "■")</f>
        <v>■</v>
      </c>
      <c r="F70" s="1" t="s">
        <v>365</v>
      </c>
      <c r="G70" s="35" t="s">
        <v>1087</v>
      </c>
      <c r="H70" s="35" t="s">
        <v>1087</v>
      </c>
      <c r="J70" s="2"/>
      <c r="K70" s="2"/>
      <c r="L70" s="35" t="s">
        <v>1087</v>
      </c>
      <c r="M70" s="2"/>
      <c r="N70" s="2"/>
      <c r="O70" s="2"/>
      <c r="P70" s="2"/>
      <c r="Q70" s="2"/>
      <c r="R70" s="2"/>
      <c r="S70" s="2"/>
      <c r="T70" s="2"/>
      <c r="U70" s="2"/>
      <c r="V70" s="1" t="s">
        <v>2945</v>
      </c>
      <c r="W70" s="1">
        <v>22</v>
      </c>
      <c r="X70" s="1">
        <v>100698</v>
      </c>
      <c r="Y70" s="1">
        <v>108306</v>
      </c>
      <c r="Z70" s="1" t="s">
        <v>366</v>
      </c>
      <c r="AA70" s="2" t="s">
        <v>874</v>
      </c>
      <c r="AB70" s="1" t="s">
        <v>322</v>
      </c>
      <c r="AC70" s="1" t="s">
        <v>323</v>
      </c>
    </row>
    <row r="71" spans="1:29">
      <c r="A71" s="2">
        <v>65393</v>
      </c>
      <c r="B71" s="2" t="s">
        <v>313</v>
      </c>
      <c r="C71" s="2" t="s">
        <v>209</v>
      </c>
      <c r="D71" s="22" t="s">
        <v>2309</v>
      </c>
      <c r="E71" s="8" t="str">
        <f>HYPERLINK("https://stat100.ameba.jp/tnk47/ratio20/illustrations/card/ill_65393_motochikafujin03.jpg", "■")</f>
        <v>■</v>
      </c>
      <c r="F71" s="1" t="s">
        <v>367</v>
      </c>
      <c r="H71" s="2"/>
      <c r="L71" s="2"/>
      <c r="M71" s="59"/>
      <c r="N71" s="2"/>
      <c r="O71" s="2"/>
      <c r="P71" s="2"/>
      <c r="Q71" s="2"/>
      <c r="R71" s="2"/>
      <c r="S71" s="2"/>
      <c r="T71" s="2"/>
      <c r="U71" s="2"/>
      <c r="V71" s="85" t="s">
        <v>3506</v>
      </c>
      <c r="W71" s="1">
        <v>22</v>
      </c>
      <c r="X71" s="1">
        <v>100698</v>
      </c>
      <c r="Y71" s="1">
        <v>108306</v>
      </c>
      <c r="Z71" s="1" t="s">
        <v>368</v>
      </c>
      <c r="AA71" s="2" t="s">
        <v>875</v>
      </c>
      <c r="AB71" s="1" t="s">
        <v>322</v>
      </c>
      <c r="AC71" s="1" t="s">
        <v>323</v>
      </c>
    </row>
    <row r="72" spans="1:29">
      <c r="A72" s="2">
        <v>65403</v>
      </c>
      <c r="B72" s="2" t="s">
        <v>316</v>
      </c>
      <c r="C72" s="2" t="s">
        <v>67</v>
      </c>
      <c r="D72" s="22" t="s">
        <v>2999</v>
      </c>
      <c r="E72" s="8" t="str">
        <f>HYPERLINK("https://stat100.ameba.jp/tnk47/ratio20/illustrations/card/ill_65403_amenokoyanenomikoto03.jpg", "■")</f>
        <v>■</v>
      </c>
      <c r="F72" s="1" t="s">
        <v>369</v>
      </c>
      <c r="J72" s="2"/>
      <c r="K72" s="2"/>
      <c r="M72" s="2"/>
      <c r="N72" s="2"/>
      <c r="O72" s="2"/>
      <c r="P72" s="2"/>
      <c r="Q72" s="2"/>
      <c r="R72" s="2"/>
      <c r="S72" s="2"/>
      <c r="T72" s="2"/>
      <c r="U72" s="2"/>
      <c r="V72" s="1" t="s">
        <v>2939</v>
      </c>
      <c r="W72" s="1">
        <v>22</v>
      </c>
      <c r="X72" s="1">
        <v>108306</v>
      </c>
      <c r="Y72" s="1">
        <v>100698</v>
      </c>
      <c r="Z72" s="1" t="s">
        <v>370</v>
      </c>
      <c r="AA72" s="2" t="s">
        <v>876</v>
      </c>
      <c r="AB72" s="1" t="s">
        <v>322</v>
      </c>
      <c r="AC72" s="1" t="s">
        <v>323</v>
      </c>
    </row>
    <row r="74" spans="1:29">
      <c r="A74" s="1" t="s">
        <v>3330</v>
      </c>
      <c r="B74" s="2"/>
      <c r="C74" s="2"/>
      <c r="D74" s="2"/>
      <c r="E74" s="2"/>
      <c r="F74" s="2"/>
      <c r="G74" s="2"/>
      <c r="H74" s="2"/>
      <c r="I74" s="2"/>
      <c r="J74" s="2"/>
      <c r="K74" s="2"/>
      <c r="L74" s="2"/>
      <c r="M74" s="2"/>
      <c r="N74" s="2"/>
      <c r="O74" s="2"/>
      <c r="P74" s="2"/>
      <c r="Q74" s="2"/>
      <c r="R74" s="2"/>
      <c r="S74" s="2"/>
      <c r="T74" s="2"/>
      <c r="U74" s="2"/>
      <c r="V74" s="2"/>
      <c r="W74" s="2"/>
      <c r="X74" s="2"/>
      <c r="Y74" s="2"/>
      <c r="Z74" s="2"/>
      <c r="AB74" s="2"/>
      <c r="AC74" s="2"/>
    </row>
    <row r="75" spans="1:29" s="78" customFormat="1">
      <c r="A75" s="78" t="s">
        <v>3336</v>
      </c>
      <c r="B75" s="2"/>
      <c r="C75" s="2"/>
      <c r="D75" s="2"/>
      <c r="E75" s="2"/>
      <c r="F75" s="2"/>
      <c r="G75" s="2"/>
      <c r="H75" s="2"/>
      <c r="I75" s="2"/>
      <c r="J75" s="2"/>
      <c r="K75" s="2"/>
      <c r="L75" s="2"/>
      <c r="M75" s="2"/>
      <c r="N75" s="2"/>
      <c r="O75" s="2"/>
      <c r="P75" s="2"/>
      <c r="Q75" s="2"/>
      <c r="R75" s="2"/>
      <c r="S75" s="2"/>
      <c r="T75" s="2"/>
      <c r="U75" s="2"/>
      <c r="V75" s="2"/>
      <c r="W75" s="2"/>
      <c r="X75" s="2"/>
      <c r="Y75" s="2"/>
      <c r="Z75" s="2"/>
      <c r="AA75" s="2"/>
      <c r="AB75" s="5"/>
      <c r="AC75" s="2"/>
    </row>
    <row r="76" spans="1:29">
      <c r="A76" s="1" t="s">
        <v>2805</v>
      </c>
      <c r="B76" s="2"/>
      <c r="C76" s="2"/>
      <c r="D76" s="2"/>
      <c r="E76" s="2"/>
      <c r="F76" s="2"/>
      <c r="G76" s="2"/>
      <c r="H76" s="2"/>
      <c r="I76" s="2"/>
      <c r="J76" s="2"/>
      <c r="K76" s="2"/>
      <c r="L76" s="2"/>
      <c r="M76" s="2"/>
      <c r="N76" s="2"/>
      <c r="O76" s="2"/>
      <c r="P76" s="2"/>
      <c r="Q76" s="2"/>
      <c r="R76" s="2"/>
      <c r="S76" s="2"/>
      <c r="T76" s="2"/>
      <c r="U76" s="2"/>
      <c r="V76" s="2"/>
      <c r="W76" s="2"/>
      <c r="X76" s="2"/>
      <c r="Y76" s="2"/>
      <c r="Z76" s="2"/>
      <c r="AB76" s="2"/>
      <c r="AC76" s="2"/>
    </row>
    <row r="77" spans="1:29">
      <c r="A77" s="2">
        <v>69293</v>
      </c>
      <c r="B77" s="2" t="s">
        <v>297</v>
      </c>
      <c r="C77" s="28" t="s">
        <v>123</v>
      </c>
      <c r="D77" s="22" t="s">
        <v>2300</v>
      </c>
      <c r="E77" s="8" t="str">
        <f>HYPERLINK("https://stat100.ameba.jp/tnk47/ratio20/illustrations/card/ill_69293_merukishiru03.jpg", "■")</f>
        <v>■</v>
      </c>
      <c r="F77" s="1" t="s">
        <v>347</v>
      </c>
      <c r="G77" s="2"/>
      <c r="H77" s="2"/>
      <c r="J77" s="2"/>
      <c r="K77" s="2"/>
      <c r="L77" s="2"/>
      <c r="M77" s="2"/>
      <c r="N77" s="2"/>
      <c r="O77" s="2"/>
      <c r="P77" s="2"/>
      <c r="Q77" s="2"/>
      <c r="R77" s="2"/>
      <c r="S77" s="2"/>
      <c r="T77" s="2"/>
      <c r="U77" s="2"/>
      <c r="V77" s="1" t="s">
        <v>2930</v>
      </c>
      <c r="W77" s="1">
        <v>22</v>
      </c>
      <c r="X77" s="1">
        <v>100698</v>
      </c>
      <c r="Y77" s="1">
        <v>108306</v>
      </c>
      <c r="Z77" s="1" t="s">
        <v>348</v>
      </c>
      <c r="AA77" s="1" t="s">
        <v>865</v>
      </c>
      <c r="AB77" s="1" t="s">
        <v>322</v>
      </c>
      <c r="AC77" s="1" t="s">
        <v>323</v>
      </c>
    </row>
    <row r="78" spans="1:29">
      <c r="A78" s="2">
        <v>69303</v>
      </c>
      <c r="B78" s="2" t="s">
        <v>303</v>
      </c>
      <c r="C78" s="28" t="s">
        <v>119</v>
      </c>
      <c r="D78" s="22" t="s">
        <v>2301</v>
      </c>
      <c r="E78" s="8" t="str">
        <f>HYPERLINK("https://stat100.ameba.jp/tnk47/ratio20/illustrations/card/ill_69303_torumushaito03.jpg", "■")</f>
        <v>■</v>
      </c>
      <c r="F78" s="1" t="s">
        <v>349</v>
      </c>
      <c r="H78" s="2"/>
      <c r="J78" s="14"/>
      <c r="K78" s="14"/>
      <c r="L78" s="98"/>
      <c r="M78" s="2"/>
      <c r="N78" s="2"/>
      <c r="O78" s="2"/>
      <c r="P78" s="2"/>
      <c r="Q78" s="2"/>
      <c r="R78" s="2"/>
      <c r="S78" s="2"/>
      <c r="T78" s="2"/>
      <c r="U78" s="2"/>
      <c r="V78" s="1" t="s">
        <v>3612</v>
      </c>
      <c r="W78" s="1">
        <v>22</v>
      </c>
      <c r="X78" s="1">
        <v>108306</v>
      </c>
      <c r="Y78" s="1">
        <v>100698</v>
      </c>
      <c r="Z78" s="1" t="s">
        <v>350</v>
      </c>
      <c r="AA78" s="1" t="s">
        <v>866</v>
      </c>
      <c r="AB78" s="1" t="s">
        <v>322</v>
      </c>
      <c r="AC78" s="1" t="s">
        <v>323</v>
      </c>
    </row>
    <row r="79" spans="1:29">
      <c r="A79" s="2">
        <v>69313</v>
      </c>
      <c r="B79" s="2" t="s">
        <v>306</v>
      </c>
      <c r="C79" s="28" t="s">
        <v>67</v>
      </c>
      <c r="D79" s="22" t="s">
        <v>2302</v>
      </c>
      <c r="E79" s="8" t="str">
        <f>HYPERLINK("https://stat100.ameba.jp/tnk47/ratio20/illustrations/card/ill_69313_teishutoriya03.jpg", "■")</f>
        <v>■</v>
      </c>
      <c r="F79" s="1" t="s">
        <v>351</v>
      </c>
      <c r="G79" s="2"/>
      <c r="H79" s="2"/>
      <c r="I79" s="2"/>
      <c r="J79" s="98"/>
      <c r="K79" s="14"/>
      <c r="L79" s="98"/>
      <c r="N79" s="2"/>
      <c r="O79" s="2"/>
      <c r="P79" s="2"/>
      <c r="Q79" s="2"/>
      <c r="R79" s="2"/>
      <c r="S79" s="2"/>
      <c r="T79" s="2"/>
      <c r="U79" s="2"/>
      <c r="V79" s="1" t="s">
        <v>2931</v>
      </c>
      <c r="W79" s="1">
        <v>22</v>
      </c>
      <c r="X79" s="1">
        <v>100698</v>
      </c>
      <c r="Y79" s="1">
        <v>108306</v>
      </c>
      <c r="Z79" s="1" t="s">
        <v>352</v>
      </c>
      <c r="AA79" s="1" t="s">
        <v>867</v>
      </c>
      <c r="AB79" s="1" t="s">
        <v>322</v>
      </c>
      <c r="AC79" s="1" t="s">
        <v>323</v>
      </c>
    </row>
    <row r="80" spans="1:29">
      <c r="A80" s="2">
        <v>69323</v>
      </c>
      <c r="B80" s="2" t="s">
        <v>310</v>
      </c>
      <c r="C80" s="28" t="s">
        <v>154</v>
      </c>
      <c r="D80" s="22" t="s">
        <v>2303</v>
      </c>
      <c r="E80" s="8" t="str">
        <f>HYPERLINK("https://stat100.ameba.jp/tnk47/ratio20/illustrations/card/ill_69323_fujitsubonomiya03.jpg", "■")</f>
        <v>■</v>
      </c>
      <c r="F80" s="1" t="s">
        <v>353</v>
      </c>
      <c r="G80" s="2"/>
      <c r="H80" s="2"/>
      <c r="J80" s="98"/>
      <c r="K80" s="14"/>
      <c r="L80" s="14"/>
      <c r="M80" s="2"/>
      <c r="V80" s="1" t="s">
        <v>3613</v>
      </c>
      <c r="W80" s="1">
        <v>22</v>
      </c>
      <c r="X80" s="1">
        <v>100698</v>
      </c>
      <c r="Y80" s="1">
        <v>108306</v>
      </c>
      <c r="Z80" s="1" t="s">
        <v>354</v>
      </c>
      <c r="AA80" s="1" t="s">
        <v>868</v>
      </c>
      <c r="AB80" s="1" t="s">
        <v>322</v>
      </c>
      <c r="AC80" s="1" t="s">
        <v>323</v>
      </c>
    </row>
    <row r="81" spans="1:29">
      <c r="A81" s="2">
        <v>69333</v>
      </c>
      <c r="B81" s="2" t="s">
        <v>313</v>
      </c>
      <c r="C81" s="28" t="s">
        <v>191</v>
      </c>
      <c r="D81" s="22" t="s">
        <v>2304</v>
      </c>
      <c r="E81" s="8" t="str">
        <f>HYPERLINK("https://stat100.ameba.jp/tnk47/ratio20/illustrations/card/ill_69333_mefuisutofueresu03.jpg", "■")</f>
        <v>■</v>
      </c>
      <c r="F81" s="1" t="s">
        <v>355</v>
      </c>
      <c r="G81" s="2"/>
      <c r="J81" s="14"/>
      <c r="K81" s="98"/>
      <c r="L81" s="98"/>
      <c r="M81" s="2"/>
      <c r="N81" s="2"/>
      <c r="O81" s="2"/>
      <c r="P81" s="2"/>
      <c r="Q81" s="2"/>
      <c r="R81" s="2"/>
      <c r="S81" s="2"/>
      <c r="T81" s="2"/>
      <c r="U81" s="2"/>
      <c r="V81" s="85" t="s">
        <v>3424</v>
      </c>
      <c r="W81" s="1">
        <v>22</v>
      </c>
      <c r="X81" s="1">
        <v>108306</v>
      </c>
      <c r="Y81" s="1">
        <v>100698</v>
      </c>
      <c r="Z81" s="1" t="s">
        <v>356</v>
      </c>
      <c r="AA81" s="1" t="s">
        <v>869</v>
      </c>
      <c r="AB81" s="1" t="s">
        <v>322</v>
      </c>
      <c r="AC81" s="1" t="s">
        <v>323</v>
      </c>
    </row>
    <row r="82" spans="1:29">
      <c r="A82" s="2">
        <v>69343</v>
      </c>
      <c r="B82" s="2" t="s">
        <v>316</v>
      </c>
      <c r="C82" s="28" t="s">
        <v>17</v>
      </c>
      <c r="D82" s="22" t="s">
        <v>2998</v>
      </c>
      <c r="E82" s="8" t="str">
        <f>HYPERLINK("https://stat100.ameba.jp/tnk47/ratio20/illustrations/card/ill_69343_teikinnofuire03.jpg", "■")</f>
        <v>■</v>
      </c>
      <c r="F82" s="1" t="s">
        <v>357</v>
      </c>
      <c r="G82" s="2"/>
      <c r="J82" s="2"/>
      <c r="K82" s="49"/>
      <c r="L82" s="2"/>
      <c r="M82" s="2"/>
      <c r="N82" s="2"/>
      <c r="O82" s="2"/>
      <c r="P82" s="2"/>
      <c r="Q82" s="2"/>
      <c r="R82" s="2"/>
      <c r="S82" s="2"/>
      <c r="T82" s="2"/>
      <c r="U82" s="2"/>
      <c r="V82" s="1" t="s">
        <v>2932</v>
      </c>
      <c r="W82" s="1">
        <v>22</v>
      </c>
      <c r="X82" s="1">
        <v>100698</v>
      </c>
      <c r="Y82" s="1">
        <v>108306</v>
      </c>
      <c r="Z82" s="1" t="s">
        <v>358</v>
      </c>
      <c r="AA82" s="1" t="s">
        <v>870</v>
      </c>
      <c r="AB82" s="1" t="s">
        <v>322</v>
      </c>
      <c r="AC82" s="1" t="s">
        <v>323</v>
      </c>
    </row>
    <row r="84" spans="1:29">
      <c r="A84" s="1" t="s">
        <v>3330</v>
      </c>
      <c r="B84" s="2"/>
      <c r="C84" s="2"/>
      <c r="D84" s="2"/>
      <c r="E84" s="2"/>
      <c r="F84" s="2"/>
      <c r="G84" s="2"/>
      <c r="H84" s="2"/>
      <c r="I84" s="2"/>
      <c r="J84" s="2"/>
      <c r="K84" s="2"/>
      <c r="L84" s="2"/>
      <c r="M84" s="2"/>
      <c r="N84" s="2"/>
      <c r="O84" s="2"/>
      <c r="P84" s="2"/>
      <c r="Q84" s="2"/>
      <c r="R84" s="2"/>
      <c r="S84" s="2"/>
      <c r="T84" s="2"/>
      <c r="U84" s="2"/>
      <c r="V84" s="2"/>
      <c r="W84" s="2"/>
      <c r="X84" s="2"/>
      <c r="Y84" s="2"/>
      <c r="Z84" s="2"/>
      <c r="AA84" s="2"/>
      <c r="AB84" s="5"/>
      <c r="AC84" s="2"/>
    </row>
    <row r="85" spans="1:29">
      <c r="A85" s="1" t="s">
        <v>790</v>
      </c>
      <c r="B85" s="2"/>
      <c r="C85" s="2"/>
      <c r="D85" s="2"/>
      <c r="E85" s="2"/>
      <c r="F85" s="2"/>
      <c r="G85" s="2"/>
      <c r="H85" s="2"/>
      <c r="I85" s="2"/>
      <c r="J85" s="2"/>
      <c r="K85" s="2"/>
      <c r="L85" s="2"/>
      <c r="M85" s="2"/>
      <c r="N85" s="2"/>
      <c r="O85" s="2"/>
      <c r="P85" s="2"/>
      <c r="Q85" s="2"/>
      <c r="R85" s="2"/>
      <c r="S85" s="2"/>
      <c r="T85" s="2"/>
      <c r="U85" s="2"/>
      <c r="V85" s="2"/>
      <c r="W85" s="2"/>
      <c r="X85" s="2"/>
      <c r="Y85" s="2"/>
      <c r="Z85" s="2"/>
      <c r="AA85" s="2"/>
      <c r="AB85" s="5"/>
      <c r="AC85" s="2"/>
    </row>
    <row r="86" spans="1:29">
      <c r="A86" s="1" t="s">
        <v>801</v>
      </c>
      <c r="B86" s="2"/>
      <c r="C86" s="2"/>
      <c r="D86" s="2"/>
      <c r="E86" s="2"/>
      <c r="F86" s="2"/>
      <c r="G86" s="2"/>
      <c r="H86" s="2"/>
      <c r="I86" s="2"/>
      <c r="J86" s="2"/>
      <c r="K86" s="2"/>
      <c r="L86" s="2"/>
      <c r="M86" s="2"/>
      <c r="N86" s="2"/>
      <c r="O86" s="2"/>
      <c r="P86" s="2"/>
      <c r="Q86" s="2"/>
      <c r="R86" s="2"/>
      <c r="S86" s="2"/>
      <c r="T86" s="2"/>
      <c r="U86" s="2"/>
      <c r="V86" s="2"/>
      <c r="W86" s="2"/>
      <c r="X86" s="2"/>
      <c r="Y86" s="2"/>
      <c r="Z86" s="2"/>
      <c r="AA86" s="2"/>
      <c r="AB86" s="5"/>
      <c r="AC86" s="2"/>
    </row>
    <row r="87" spans="1:29">
      <c r="A87" s="2">
        <v>70073</v>
      </c>
      <c r="B87" s="2" t="s">
        <v>297</v>
      </c>
      <c r="C87" s="28" t="s">
        <v>17</v>
      </c>
      <c r="D87" s="22" t="s">
        <v>3595</v>
      </c>
      <c r="E87" s="8" t="str">
        <f>HYPERLINK("https://stat100.ameba.jp/tnk47/ratio20/illustrations/card/ill_70073_muhime03.jpg", "■")</f>
        <v>■</v>
      </c>
      <c r="F87" s="1" t="s">
        <v>335</v>
      </c>
      <c r="G87" s="2"/>
      <c r="I87" s="1" t="s">
        <v>3420</v>
      </c>
      <c r="J87" s="2"/>
      <c r="K87" s="2"/>
      <c r="L87" s="2"/>
      <c r="N87" s="2"/>
      <c r="O87" s="2"/>
      <c r="P87" s="14"/>
      <c r="Q87" s="14"/>
      <c r="R87" s="14"/>
      <c r="S87" s="14"/>
      <c r="T87" s="14"/>
      <c r="U87" s="14"/>
      <c r="V87" s="1" t="s">
        <v>1088</v>
      </c>
      <c r="W87" s="1">
        <v>22</v>
      </c>
      <c r="X87" s="1">
        <v>100698</v>
      </c>
      <c r="Y87" s="1">
        <v>108306</v>
      </c>
      <c r="Z87" s="1" t="s">
        <v>336</v>
      </c>
      <c r="AA87" s="1" t="s">
        <v>859</v>
      </c>
      <c r="AB87" s="1" t="s">
        <v>322</v>
      </c>
      <c r="AC87" s="1" t="s">
        <v>323</v>
      </c>
    </row>
    <row r="88" spans="1:29">
      <c r="A88" s="2">
        <v>70083</v>
      </c>
      <c r="B88" s="2" t="s">
        <v>303</v>
      </c>
      <c r="C88" s="28" t="s">
        <v>87</v>
      </c>
      <c r="D88" s="22" t="s">
        <v>2296</v>
      </c>
      <c r="E88" s="8" t="str">
        <f>HYPERLINK("https://stat100.ameba.jp/tnk47/ratio20/illustrations/card/ill_70083_kimurakaishu03.jpg", "■")</f>
        <v>■</v>
      </c>
      <c r="F88" s="1" t="s">
        <v>337</v>
      </c>
      <c r="G88" s="2"/>
      <c r="H88" s="2"/>
      <c r="I88" s="1" t="s">
        <v>3420</v>
      </c>
      <c r="K88" s="59"/>
      <c r="L88" s="2"/>
      <c r="M88" s="2"/>
      <c r="N88" s="2"/>
      <c r="O88" s="2"/>
      <c r="P88" s="2"/>
      <c r="Q88" s="2"/>
      <c r="R88" s="2"/>
      <c r="S88" s="2"/>
      <c r="T88" s="2"/>
      <c r="U88" s="2"/>
      <c r="V88" s="1" t="s">
        <v>2944</v>
      </c>
      <c r="W88" s="1">
        <v>22</v>
      </c>
      <c r="X88" s="1">
        <v>108306</v>
      </c>
      <c r="Y88" s="1">
        <v>100698</v>
      </c>
      <c r="Z88" s="1" t="s">
        <v>338</v>
      </c>
      <c r="AA88" s="1" t="s">
        <v>860</v>
      </c>
      <c r="AB88" s="1" t="s">
        <v>322</v>
      </c>
      <c r="AC88" s="1" t="s">
        <v>323</v>
      </c>
    </row>
    <row r="89" spans="1:29">
      <c r="A89" s="2">
        <v>70923</v>
      </c>
      <c r="B89" s="2" t="s">
        <v>306</v>
      </c>
      <c r="C89" s="28" t="s">
        <v>149</v>
      </c>
      <c r="D89" s="22" t="s">
        <v>2297</v>
      </c>
      <c r="E89" s="8" t="str">
        <f>HYPERLINK("https://stat100.ameba.jp/tnk47/ratio20/illustrations/card/ill_70923_hidawagyu03.jpg", "■")</f>
        <v>■</v>
      </c>
      <c r="F89" s="1" t="s">
        <v>339</v>
      </c>
      <c r="G89" s="2"/>
      <c r="H89" s="2"/>
      <c r="I89" s="1" t="s">
        <v>3420</v>
      </c>
      <c r="J89" s="34"/>
      <c r="K89" s="2"/>
      <c r="L89" s="2"/>
      <c r="N89" s="2"/>
      <c r="O89" s="59"/>
      <c r="V89" s="1" t="s">
        <v>2942</v>
      </c>
      <c r="W89" s="1">
        <v>22</v>
      </c>
      <c r="X89" s="1">
        <v>108306</v>
      </c>
      <c r="Y89" s="1">
        <v>100698</v>
      </c>
      <c r="Z89" s="1" t="s">
        <v>340</v>
      </c>
      <c r="AA89" s="1" t="s">
        <v>861</v>
      </c>
      <c r="AB89" s="1" t="s">
        <v>322</v>
      </c>
      <c r="AC89" s="1" t="s">
        <v>323</v>
      </c>
    </row>
    <row r="90" spans="1:29">
      <c r="A90" s="2">
        <v>70093</v>
      </c>
      <c r="B90" s="2" t="s">
        <v>310</v>
      </c>
      <c r="C90" s="28" t="s">
        <v>174</v>
      </c>
      <c r="D90" s="22" t="s">
        <v>2298</v>
      </c>
      <c r="E90" s="8" t="str">
        <f>HYPERLINK("https://stat100.ameba.jp/tnk47/ratio20/illustrations/card/ill_70093_sarutahikonookami03.jpg", "■")</f>
        <v>■</v>
      </c>
      <c r="F90" s="1" t="s">
        <v>341</v>
      </c>
      <c r="G90" s="35" t="s">
        <v>1087</v>
      </c>
      <c r="H90" s="2"/>
      <c r="I90" s="35" t="s">
        <v>2941</v>
      </c>
      <c r="J90" s="35" t="s">
        <v>1087</v>
      </c>
      <c r="K90" s="2"/>
      <c r="M90" s="59"/>
      <c r="N90" s="2"/>
      <c r="O90" s="2"/>
      <c r="P90" s="2"/>
      <c r="Q90" s="2"/>
      <c r="R90" s="2"/>
      <c r="S90" s="2"/>
      <c r="T90" s="2"/>
      <c r="U90" s="2"/>
      <c r="V90" s="1" t="s">
        <v>2943</v>
      </c>
      <c r="W90" s="1">
        <v>22</v>
      </c>
      <c r="X90" s="1">
        <v>100698</v>
      </c>
      <c r="Y90" s="1">
        <v>108306</v>
      </c>
      <c r="Z90" s="1" t="s">
        <v>342</v>
      </c>
      <c r="AA90" s="1" t="s">
        <v>862</v>
      </c>
      <c r="AB90" s="1" t="s">
        <v>322</v>
      </c>
      <c r="AC90" s="1" t="s">
        <v>323</v>
      </c>
    </row>
    <row r="91" spans="1:29">
      <c r="A91" s="2">
        <v>70933</v>
      </c>
      <c r="B91" s="2" t="s">
        <v>313</v>
      </c>
      <c r="C91" s="28" t="s">
        <v>51</v>
      </c>
      <c r="D91" s="22" t="s">
        <v>2299</v>
      </c>
      <c r="E91" s="8" t="str">
        <f>HYPERLINK("https://stat100.ameba.jp/tnk47/ratio20/illustrations/card/ill_70933_zenigatasunae03.jpg", "■")</f>
        <v>■</v>
      </c>
      <c r="F91" s="1" t="s">
        <v>343</v>
      </c>
      <c r="G91" s="2"/>
      <c r="H91" s="35" t="s">
        <v>1089</v>
      </c>
      <c r="I91" s="35" t="s">
        <v>2941</v>
      </c>
      <c r="J91" s="2"/>
      <c r="K91" s="2"/>
      <c r="L91" s="2"/>
      <c r="M91" s="2"/>
      <c r="N91" s="2"/>
      <c r="O91" s="2"/>
      <c r="P91" s="2"/>
      <c r="Q91" s="2"/>
      <c r="R91" s="2"/>
      <c r="S91" s="2"/>
      <c r="T91" s="2"/>
      <c r="U91" s="2"/>
      <c r="V91" s="1" t="s">
        <v>3419</v>
      </c>
      <c r="W91" s="1">
        <v>22</v>
      </c>
      <c r="X91" s="1">
        <v>100698</v>
      </c>
      <c r="Y91" s="1">
        <v>108306</v>
      </c>
      <c r="Z91" s="1" t="s">
        <v>344</v>
      </c>
      <c r="AA91" s="1" t="s">
        <v>863</v>
      </c>
      <c r="AB91" s="1" t="s">
        <v>322</v>
      </c>
      <c r="AC91" s="1" t="s">
        <v>323</v>
      </c>
    </row>
    <row r="92" spans="1:29">
      <c r="A92" s="2">
        <v>70943</v>
      </c>
      <c r="B92" s="2" t="s">
        <v>316</v>
      </c>
      <c r="C92" s="28" t="s">
        <v>154</v>
      </c>
      <c r="D92" s="22" t="s">
        <v>2995</v>
      </c>
      <c r="E92" s="8" t="str">
        <f>HYPERLINK("https://stat100.ameba.jp/tnk47/ratio20/illustrations/card/ill_70943_tengunokakuremino03.jpg", "■")</f>
        <v>■</v>
      </c>
      <c r="F92" s="1" t="s">
        <v>345</v>
      </c>
      <c r="G92" s="2"/>
      <c r="H92" s="2"/>
      <c r="I92" s="1" t="s">
        <v>3420</v>
      </c>
      <c r="K92" s="2"/>
      <c r="L92" s="2"/>
      <c r="N92" s="2"/>
      <c r="O92" s="2"/>
      <c r="P92" s="2"/>
      <c r="Q92" s="2"/>
      <c r="R92" s="2"/>
      <c r="S92" s="2"/>
      <c r="T92" s="2"/>
      <c r="U92" s="2"/>
      <c r="V92" s="1" t="s">
        <v>2946</v>
      </c>
      <c r="W92" s="1">
        <v>22</v>
      </c>
      <c r="X92" s="1">
        <v>108306</v>
      </c>
      <c r="Y92" s="1">
        <v>100698</v>
      </c>
      <c r="Z92" s="1" t="s">
        <v>346</v>
      </c>
      <c r="AA92" s="1" t="s">
        <v>864</v>
      </c>
      <c r="AB92" s="1" t="s">
        <v>322</v>
      </c>
      <c r="AC92" s="1" t="s">
        <v>323</v>
      </c>
    </row>
    <row r="94" spans="1:29">
      <c r="A94" s="1" t="s">
        <v>3330</v>
      </c>
      <c r="B94" s="2"/>
      <c r="C94" s="2"/>
      <c r="D94" s="2"/>
      <c r="E94" s="2"/>
      <c r="F94" s="2"/>
      <c r="G94" s="2"/>
      <c r="H94" s="2"/>
      <c r="I94" s="2"/>
      <c r="J94" s="2"/>
      <c r="K94" s="2"/>
      <c r="L94" s="2"/>
      <c r="M94" s="2"/>
      <c r="N94" s="2"/>
      <c r="O94" s="2"/>
      <c r="P94" s="2"/>
      <c r="Q94" s="2"/>
      <c r="R94" s="2"/>
      <c r="S94" s="2"/>
      <c r="T94" s="2"/>
      <c r="U94" s="2"/>
      <c r="V94" s="2"/>
      <c r="W94" s="2"/>
      <c r="X94" s="2"/>
      <c r="Y94" s="2"/>
      <c r="Z94" s="2"/>
      <c r="AA94" s="5"/>
      <c r="AB94" s="5"/>
      <c r="AC94" s="2"/>
    </row>
    <row r="95" spans="1:29">
      <c r="A95" s="1" t="s">
        <v>789</v>
      </c>
      <c r="B95" s="2"/>
      <c r="C95" s="2"/>
      <c r="D95" s="2"/>
      <c r="E95" s="2"/>
      <c r="F95" s="2"/>
      <c r="G95" s="2"/>
      <c r="H95" s="2"/>
      <c r="I95" s="2"/>
      <c r="J95" s="2"/>
      <c r="K95" s="2"/>
      <c r="L95" s="2"/>
      <c r="M95" s="2"/>
      <c r="N95" s="2"/>
      <c r="O95" s="2"/>
      <c r="P95" s="2"/>
      <c r="Q95" s="2"/>
      <c r="R95" s="2"/>
      <c r="S95" s="2"/>
      <c r="T95" s="2"/>
      <c r="U95" s="2"/>
      <c r="V95" s="2"/>
      <c r="W95" s="2"/>
      <c r="X95" s="2"/>
      <c r="Y95" s="2"/>
      <c r="Z95" s="2"/>
      <c r="AA95" s="5"/>
      <c r="AB95" s="5"/>
      <c r="AC95" s="2"/>
    </row>
    <row r="96" spans="1:29">
      <c r="A96" s="1" t="s">
        <v>2840</v>
      </c>
      <c r="B96" s="2"/>
      <c r="C96" s="2"/>
      <c r="D96" s="2"/>
      <c r="E96" s="2"/>
      <c r="F96" s="2"/>
      <c r="G96" s="2"/>
      <c r="H96" s="2"/>
      <c r="I96" s="2"/>
      <c r="J96" s="2"/>
      <c r="K96" s="2"/>
      <c r="L96" s="2"/>
      <c r="M96" s="2"/>
      <c r="N96" s="2"/>
      <c r="O96" s="2"/>
      <c r="P96" s="2"/>
      <c r="Q96" s="2"/>
      <c r="R96" s="2"/>
      <c r="S96" s="2"/>
      <c r="T96" s="2"/>
      <c r="U96" s="2"/>
      <c r="V96" s="2"/>
      <c r="W96" s="2"/>
      <c r="X96" s="2"/>
      <c r="Y96" s="2"/>
      <c r="Z96" s="2"/>
      <c r="AA96" s="5"/>
      <c r="AB96" s="5"/>
      <c r="AC96" s="2"/>
    </row>
    <row r="97" spans="1:29">
      <c r="A97" s="2">
        <v>71873</v>
      </c>
      <c r="B97" s="2" t="s">
        <v>297</v>
      </c>
      <c r="C97" s="28" t="s">
        <v>191</v>
      </c>
      <c r="D97" s="22" t="s">
        <v>2290</v>
      </c>
      <c r="E97" s="8" t="str">
        <f>HYPERLINK("https://stat100.ameba.jp/tnk47/ratio20/illustrations/card/ill_71873_akashita03.jpg", "■")</f>
        <v>■</v>
      </c>
      <c r="F97" s="1" t="s">
        <v>319</v>
      </c>
      <c r="K97" s="2"/>
      <c r="L97" s="2"/>
      <c r="M97" s="59"/>
      <c r="N97" s="2"/>
      <c r="O97" s="2"/>
      <c r="P97" s="2"/>
      <c r="Q97" s="2"/>
      <c r="R97" s="2"/>
      <c r="S97" s="2"/>
      <c r="T97" s="2"/>
      <c r="U97" s="2"/>
      <c r="V97" s="2" t="s">
        <v>3203</v>
      </c>
      <c r="W97" s="1">
        <v>22</v>
      </c>
      <c r="X97" s="2">
        <v>110750</v>
      </c>
      <c r="Y97" s="2">
        <v>102964</v>
      </c>
      <c r="Z97" s="1" t="s">
        <v>320</v>
      </c>
      <c r="AA97" s="5" t="s">
        <v>321</v>
      </c>
      <c r="AB97" s="1" t="s">
        <v>322</v>
      </c>
      <c r="AC97" s="1" t="s">
        <v>323</v>
      </c>
    </row>
    <row r="98" spans="1:29">
      <c r="A98" s="2">
        <v>72693</v>
      </c>
      <c r="B98" s="2" t="s">
        <v>303</v>
      </c>
      <c r="C98" s="28" t="s">
        <v>96</v>
      </c>
      <c r="D98" s="22" t="s">
        <v>2291</v>
      </c>
      <c r="E98" s="8" t="str">
        <f>HYPERLINK("https://stat100.ameba.jp/tnk47/ratio20/illustrations/card/ill_72693_sagarasozo03.jpg", "■")</f>
        <v>■</v>
      </c>
      <c r="F98" s="1" t="s">
        <v>324</v>
      </c>
      <c r="G98" s="2"/>
      <c r="H98" s="2"/>
      <c r="I98" s="14"/>
      <c r="J98" s="14"/>
      <c r="K98" s="14"/>
      <c r="L98" s="2"/>
      <c r="M98" s="55"/>
      <c r="N98" s="2"/>
      <c r="O98" s="2"/>
      <c r="P98" s="2"/>
      <c r="Q98" s="2"/>
      <c r="R98" s="2"/>
      <c r="S98" s="2"/>
      <c r="T98" s="2"/>
      <c r="U98" s="2"/>
      <c r="V98" s="1" t="s">
        <v>3614</v>
      </c>
      <c r="W98" s="1">
        <v>22</v>
      </c>
      <c r="X98" s="2">
        <v>102964</v>
      </c>
      <c r="Y98" s="2">
        <v>110750</v>
      </c>
      <c r="Z98" s="1" t="s">
        <v>325</v>
      </c>
      <c r="AA98" s="1" t="s">
        <v>854</v>
      </c>
      <c r="AB98" s="1" t="s">
        <v>322</v>
      </c>
      <c r="AC98" s="1" t="s">
        <v>323</v>
      </c>
    </row>
    <row r="99" spans="1:29">
      <c r="A99" s="2">
        <v>72703</v>
      </c>
      <c r="B99" s="2" t="s">
        <v>306</v>
      </c>
      <c r="C99" s="28" t="s">
        <v>87</v>
      </c>
      <c r="D99" s="22" t="s">
        <v>2292</v>
      </c>
      <c r="E99" s="8" t="str">
        <f>HYPERLINK("https://stat100.ameba.jp/tnk47/ratio20/illustrations/card/ill_72703_hayakawanoritsugu03.jpg", "■")</f>
        <v>■</v>
      </c>
      <c r="F99" s="1" t="s">
        <v>326</v>
      </c>
      <c r="G99" s="2"/>
      <c r="H99" s="2"/>
      <c r="J99" s="2"/>
      <c r="L99" s="2"/>
      <c r="M99" s="59"/>
      <c r="N99" s="2"/>
      <c r="O99" s="2"/>
      <c r="P99" s="2"/>
      <c r="Q99" s="2"/>
      <c r="R99" s="2"/>
      <c r="S99" s="2"/>
      <c r="T99" s="2"/>
      <c r="U99" s="2"/>
      <c r="V99" s="1" t="s">
        <v>3204</v>
      </c>
      <c r="W99" s="1">
        <v>22</v>
      </c>
      <c r="X99" s="2">
        <v>110750</v>
      </c>
      <c r="Y99" s="2">
        <v>102964</v>
      </c>
      <c r="Z99" s="1" t="s">
        <v>327</v>
      </c>
      <c r="AA99" s="1" t="s">
        <v>855</v>
      </c>
      <c r="AB99" s="1" t="s">
        <v>322</v>
      </c>
      <c r="AC99" s="1" t="s">
        <v>328</v>
      </c>
    </row>
    <row r="100" spans="1:29">
      <c r="A100" s="2">
        <v>73523</v>
      </c>
      <c r="B100" s="2" t="s">
        <v>310</v>
      </c>
      <c r="C100" s="28" t="s">
        <v>17</v>
      </c>
      <c r="D100" s="22" t="s">
        <v>2293</v>
      </c>
      <c r="E100" s="8" t="str">
        <f>HYPERLINK("https://stat100.ameba.jp/tnk47/ratio20/illustrations/card/ill_73523_marunomarudono03.jpg", "■")</f>
        <v>■</v>
      </c>
      <c r="F100" s="1" t="s">
        <v>329</v>
      </c>
      <c r="H100" s="2"/>
      <c r="J100" s="2"/>
      <c r="L100" s="2"/>
      <c r="M100" s="44"/>
      <c r="N100" s="2"/>
      <c r="O100" s="2"/>
      <c r="P100" s="2"/>
      <c r="Q100" s="2"/>
      <c r="R100" s="2"/>
      <c r="S100" s="2"/>
      <c r="T100" s="2"/>
      <c r="U100" s="2"/>
      <c r="V100" s="1" t="s">
        <v>3205</v>
      </c>
      <c r="W100" s="1">
        <v>22</v>
      </c>
      <c r="X100" s="2">
        <v>102964</v>
      </c>
      <c r="Y100" s="2">
        <v>110750</v>
      </c>
      <c r="Z100" s="1" t="s">
        <v>330</v>
      </c>
      <c r="AA100" s="1" t="s">
        <v>856</v>
      </c>
      <c r="AB100" s="1" t="s">
        <v>322</v>
      </c>
      <c r="AC100" s="1" t="s">
        <v>328</v>
      </c>
    </row>
    <row r="101" spans="1:29">
      <c r="A101" s="2">
        <v>72713</v>
      </c>
      <c r="B101" s="2" t="s">
        <v>313</v>
      </c>
      <c r="C101" s="28" t="s">
        <v>174</v>
      </c>
      <c r="D101" s="22" t="s">
        <v>2294</v>
      </c>
      <c r="E101" s="8" t="str">
        <f>HYPERLINK("https://stat100.ameba.jp/tnk47/ratio20/illustrations/card/ill_72713_okamuzuminomikoto03.jpg", "■")</f>
        <v>■</v>
      </c>
      <c r="F101" s="1" t="s">
        <v>331</v>
      </c>
      <c r="G101" s="84"/>
      <c r="J101" s="2"/>
      <c r="K101" s="2"/>
      <c r="L101" s="55"/>
      <c r="M101" s="74"/>
      <c r="N101" s="59"/>
      <c r="O101" s="2"/>
      <c r="P101" s="2"/>
      <c r="Q101" s="2"/>
      <c r="R101" s="2"/>
      <c r="S101" s="2"/>
      <c r="T101" s="2"/>
      <c r="U101" s="2"/>
      <c r="V101" s="85" t="s">
        <v>3425</v>
      </c>
      <c r="W101" s="1">
        <v>22</v>
      </c>
      <c r="X101" s="2">
        <v>102964</v>
      </c>
      <c r="Y101" s="2">
        <v>110750</v>
      </c>
      <c r="Z101" s="1" t="s">
        <v>332</v>
      </c>
      <c r="AA101" s="1" t="s">
        <v>857</v>
      </c>
      <c r="AB101" s="1" t="s">
        <v>322</v>
      </c>
      <c r="AC101" s="1" t="s">
        <v>328</v>
      </c>
    </row>
    <row r="102" spans="1:29">
      <c r="A102" s="2">
        <v>73533</v>
      </c>
      <c r="B102" s="2" t="s">
        <v>316</v>
      </c>
      <c r="C102" s="28" t="s">
        <v>149</v>
      </c>
      <c r="D102" s="22" t="s">
        <v>2295</v>
      </c>
      <c r="E102" s="8" t="str">
        <f>HYPERLINK("https://stat100.ameba.jp/tnk47/ratio20/illustrations/card/ill_73533_agubutachan03.jpg", "■")</f>
        <v>■</v>
      </c>
      <c r="F102" s="1" t="s">
        <v>333</v>
      </c>
      <c r="H102" s="2"/>
      <c r="J102" s="59"/>
      <c r="K102" s="2"/>
      <c r="L102" s="2"/>
      <c r="M102" s="2"/>
      <c r="N102" s="2"/>
      <c r="O102" s="2"/>
      <c r="P102" s="2"/>
      <c r="Q102" s="2"/>
      <c r="R102" s="2"/>
      <c r="S102" s="2"/>
      <c r="T102" s="2"/>
      <c r="U102" s="2"/>
      <c r="V102" s="1" t="s">
        <v>3206</v>
      </c>
      <c r="W102" s="1">
        <v>22</v>
      </c>
      <c r="X102" s="2">
        <v>110750</v>
      </c>
      <c r="Y102" s="2">
        <v>102964</v>
      </c>
      <c r="Z102" s="1" t="s">
        <v>334</v>
      </c>
      <c r="AA102" s="1" t="s">
        <v>858</v>
      </c>
      <c r="AB102" s="1" t="s">
        <v>322</v>
      </c>
      <c r="AC102" s="1" t="s">
        <v>328</v>
      </c>
    </row>
    <row r="104" spans="1:29">
      <c r="A104" s="1" t="s">
        <v>3329</v>
      </c>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5"/>
      <c r="AB104" s="5"/>
      <c r="AC104" s="2"/>
    </row>
    <row r="105" spans="1:29">
      <c r="A105" s="2" t="s">
        <v>788</v>
      </c>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5"/>
      <c r="AB105" s="5"/>
      <c r="AC105" s="2"/>
    </row>
    <row r="106" spans="1:29">
      <c r="A106" s="1" t="s">
        <v>2925</v>
      </c>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5"/>
      <c r="AB106" s="5"/>
      <c r="AC106" s="2"/>
    </row>
    <row r="107" spans="1:29">
      <c r="A107" s="2">
        <v>75113</v>
      </c>
      <c r="B107" s="28" t="s">
        <v>297</v>
      </c>
      <c r="C107" s="28" t="s">
        <v>149</v>
      </c>
      <c r="D107" s="22" t="s">
        <v>2285</v>
      </c>
      <c r="E107" s="8" t="str">
        <f>HYPERLINK("https://stat100.ameba.jp/tnk47/ratio20/illustrations/card/ill_75113_hatahata03.jpg", "■")</f>
        <v>■</v>
      </c>
      <c r="F107" s="1" t="s">
        <v>298</v>
      </c>
      <c r="G107" s="2"/>
      <c r="J107" s="2"/>
      <c r="K107" s="2"/>
      <c r="L107" s="2"/>
      <c r="M107" s="2"/>
      <c r="N107" s="59"/>
      <c r="O107" s="2"/>
      <c r="P107" s="2"/>
      <c r="Q107" s="2"/>
      <c r="R107" s="2"/>
      <c r="S107" s="2"/>
      <c r="T107" s="2"/>
      <c r="U107" s="2"/>
      <c r="V107" s="1" t="s">
        <v>3451</v>
      </c>
      <c r="W107" s="1">
        <v>22</v>
      </c>
      <c r="X107" s="1">
        <v>108306</v>
      </c>
      <c r="Y107" s="1">
        <v>100698</v>
      </c>
      <c r="Z107" s="1" t="s">
        <v>299</v>
      </c>
      <c r="AA107" s="5" t="s">
        <v>300</v>
      </c>
      <c r="AB107" s="1" t="s">
        <v>301</v>
      </c>
      <c r="AC107" s="1" t="s">
        <v>302</v>
      </c>
    </row>
    <row r="108" spans="1:29">
      <c r="A108" s="2">
        <v>74333</v>
      </c>
      <c r="B108" s="28" t="s">
        <v>303</v>
      </c>
      <c r="C108" s="28" t="s">
        <v>26</v>
      </c>
      <c r="D108" s="22" t="s">
        <v>2286</v>
      </c>
      <c r="E108" s="8" t="str">
        <f>HYPERLINK("https://stat100.ameba.jp/tnk47/ratio20/illustrations/card/ill_74333_iizukaigashichi03.jpg", "■")</f>
        <v>■</v>
      </c>
      <c r="F108" s="1" t="s">
        <v>304</v>
      </c>
      <c r="G108" s="2"/>
      <c r="H108" s="2"/>
      <c r="K108" s="2"/>
      <c r="L108" s="2"/>
      <c r="M108" s="37"/>
      <c r="N108" s="2"/>
      <c r="O108" s="2"/>
      <c r="P108" s="2"/>
      <c r="Q108" s="2"/>
      <c r="R108" s="2"/>
      <c r="S108" s="2"/>
      <c r="T108" s="2"/>
      <c r="U108" s="2"/>
      <c r="V108" s="1" t="s">
        <v>3207</v>
      </c>
      <c r="W108" s="1">
        <v>22</v>
      </c>
      <c r="X108" s="1">
        <v>100698</v>
      </c>
      <c r="Y108" s="1">
        <v>108306</v>
      </c>
      <c r="Z108" s="1" t="s">
        <v>305</v>
      </c>
      <c r="AA108" s="1" t="s">
        <v>849</v>
      </c>
      <c r="AB108" s="1" t="s">
        <v>301</v>
      </c>
      <c r="AC108" s="1" t="s">
        <v>302</v>
      </c>
    </row>
    <row r="109" spans="1:29">
      <c r="A109" s="2">
        <v>75123</v>
      </c>
      <c r="B109" s="28" t="s">
        <v>306</v>
      </c>
      <c r="C109" s="28" t="s">
        <v>154</v>
      </c>
      <c r="D109" s="22" t="s">
        <v>2287</v>
      </c>
      <c r="E109" s="8" t="str">
        <f>HYPERLINK("https://stat100.ameba.jp/tnk47/ratio20/illustrations/card/ill_75123_nankintamasudare03.jpg", "■")</f>
        <v>■</v>
      </c>
      <c r="F109" s="1" t="s">
        <v>307</v>
      </c>
      <c r="H109" s="2"/>
      <c r="J109" s="2"/>
      <c r="K109" s="2"/>
      <c r="M109" s="55"/>
      <c r="N109" s="2"/>
      <c r="O109" s="2"/>
      <c r="P109" s="2"/>
      <c r="Q109" s="2"/>
      <c r="R109" s="2"/>
      <c r="S109" s="2"/>
      <c r="T109" s="2"/>
      <c r="U109" s="2"/>
      <c r="V109" s="17" t="s">
        <v>3449</v>
      </c>
      <c r="W109" s="1">
        <v>22</v>
      </c>
      <c r="X109" s="1">
        <v>100698</v>
      </c>
      <c r="Y109" s="1">
        <v>108306</v>
      </c>
      <c r="Z109" s="1" t="s">
        <v>308</v>
      </c>
      <c r="AA109" s="1" t="s">
        <v>850</v>
      </c>
      <c r="AB109" s="1" t="s">
        <v>301</v>
      </c>
      <c r="AC109" s="1" t="s">
        <v>309</v>
      </c>
    </row>
    <row r="110" spans="1:29">
      <c r="A110" s="2">
        <v>74343</v>
      </c>
      <c r="B110" s="28" t="s">
        <v>310</v>
      </c>
      <c r="C110" s="28" t="s">
        <v>96</v>
      </c>
      <c r="D110" s="22" t="s">
        <v>2288</v>
      </c>
      <c r="E110" s="8" t="str">
        <f>HYPERLINK("https://stat100.ameba.jp/tnk47/ratio20/illustrations/card/ill_74343_wadakoremasa03.jpg", "■")</f>
        <v>■</v>
      </c>
      <c r="F110" s="1" t="s">
        <v>311</v>
      </c>
      <c r="H110" s="2"/>
      <c r="L110" s="2"/>
      <c r="N110" s="2"/>
      <c r="O110" s="2"/>
      <c r="P110" s="2"/>
      <c r="Q110" s="2"/>
      <c r="R110" s="2"/>
      <c r="S110" s="2"/>
      <c r="T110" s="2"/>
      <c r="U110" s="2"/>
      <c r="V110" s="1" t="s">
        <v>3208</v>
      </c>
      <c r="W110" s="1">
        <v>22</v>
      </c>
      <c r="X110" s="1">
        <v>100698</v>
      </c>
      <c r="Y110" s="1">
        <v>108306</v>
      </c>
      <c r="Z110" s="1" t="s">
        <v>312</v>
      </c>
      <c r="AA110" s="1" t="s">
        <v>851</v>
      </c>
      <c r="AB110" s="1" t="s">
        <v>301</v>
      </c>
      <c r="AC110" s="1" t="s">
        <v>309</v>
      </c>
    </row>
    <row r="111" spans="1:29">
      <c r="A111" s="2">
        <v>74353</v>
      </c>
      <c r="B111" s="28" t="s">
        <v>313</v>
      </c>
      <c r="C111" s="28" t="s">
        <v>87</v>
      </c>
      <c r="D111" s="22" t="s">
        <v>2289</v>
      </c>
      <c r="E111" s="8" t="str">
        <f>HYPERLINK("https://stat100.ameba.jp/tnk47/ratio20/illustrations/card/ill_74353_takechizuizan03.jpg", "■")</f>
        <v>■</v>
      </c>
      <c r="F111" s="1" t="s">
        <v>314</v>
      </c>
      <c r="H111" s="2"/>
      <c r="L111" s="2"/>
      <c r="M111" s="2"/>
      <c r="N111" s="59"/>
      <c r="O111" s="2"/>
      <c r="P111" s="2"/>
      <c r="Q111" s="2"/>
      <c r="R111" s="2"/>
      <c r="S111" s="2"/>
      <c r="T111" s="2"/>
      <c r="U111" s="2"/>
      <c r="V111" s="17" t="s">
        <v>3450</v>
      </c>
      <c r="W111" s="1">
        <v>22</v>
      </c>
      <c r="X111" s="1">
        <v>108306</v>
      </c>
      <c r="Y111" s="1">
        <v>100698</v>
      </c>
      <c r="Z111" s="1" t="s">
        <v>315</v>
      </c>
      <c r="AA111" s="1" t="s">
        <v>852</v>
      </c>
      <c r="AB111" s="1" t="s">
        <v>301</v>
      </c>
      <c r="AC111" s="1" t="s">
        <v>309</v>
      </c>
    </row>
    <row r="112" spans="1:29">
      <c r="A112" s="2">
        <v>76013</v>
      </c>
      <c r="B112" s="28" t="s">
        <v>316</v>
      </c>
      <c r="C112" s="28" t="s">
        <v>51</v>
      </c>
      <c r="D112" s="22" t="s">
        <v>2990</v>
      </c>
      <c r="E112" s="8" t="str">
        <f>HYPERLINK("https://stat100.ameba.jp/tnk47/ratio20/illustrations/card/ill_76013_miyakojima03.jpg", "■")</f>
        <v>■</v>
      </c>
      <c r="F112" s="1" t="s">
        <v>317</v>
      </c>
      <c r="H112" s="2"/>
      <c r="L112" s="2"/>
      <c r="M112" s="57"/>
      <c r="N112" s="2"/>
      <c r="O112" s="2"/>
      <c r="P112" s="2"/>
      <c r="Q112" s="2"/>
      <c r="R112" s="2"/>
      <c r="S112" s="2"/>
      <c r="T112" s="2"/>
      <c r="U112" s="2"/>
      <c r="V112" s="1" t="s">
        <v>3209</v>
      </c>
      <c r="W112" s="1">
        <v>22</v>
      </c>
      <c r="X112" s="1">
        <v>108306</v>
      </c>
      <c r="Y112" s="1">
        <v>100698</v>
      </c>
      <c r="Z112" s="1" t="s">
        <v>318</v>
      </c>
      <c r="AA112" s="1" t="s">
        <v>853</v>
      </c>
      <c r="AB112" s="1" t="s">
        <v>301</v>
      </c>
      <c r="AC112" s="1" t="s">
        <v>309</v>
      </c>
    </row>
    <row r="113" spans="1:29">
      <c r="A113" s="2"/>
      <c r="B113" s="28"/>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row>
    <row r="114" spans="1:29">
      <c r="A114" s="1" t="s">
        <v>3329</v>
      </c>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row>
    <row r="115" spans="1:29">
      <c r="A115" s="2" t="s">
        <v>787</v>
      </c>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10"/>
      <c r="AB115" s="2"/>
      <c r="AC115" s="2"/>
    </row>
    <row r="116" spans="1:29">
      <c r="A116" s="10" t="s">
        <v>3412</v>
      </c>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10"/>
      <c r="AB116" s="2"/>
      <c r="AC116" s="2"/>
    </row>
    <row r="117" spans="1:29">
      <c r="A117" s="2">
        <v>82213</v>
      </c>
      <c r="B117" s="28" t="s">
        <v>297</v>
      </c>
      <c r="C117" s="28" t="s">
        <v>191</v>
      </c>
      <c r="D117" s="22" t="s">
        <v>607</v>
      </c>
      <c r="E117" s="8" t="str">
        <f>HYPERLINK("https://stat100.ameba.jp/tnk47/ratio20/illustrations/card/ill_82213_tatarimokke03.jpg", "■")</f>
        <v>■</v>
      </c>
      <c r="F117" s="1" t="s">
        <v>607</v>
      </c>
      <c r="G117" s="2"/>
      <c r="H117" s="2"/>
      <c r="J117" s="84"/>
      <c r="K117" s="2"/>
      <c r="L117" s="2"/>
      <c r="M117" s="71"/>
      <c r="N117" s="2"/>
      <c r="V117" s="17" t="s">
        <v>3444</v>
      </c>
      <c r="W117" s="1">
        <v>22</v>
      </c>
      <c r="X117" s="1">
        <v>100698</v>
      </c>
      <c r="Y117" s="1">
        <v>108306</v>
      </c>
      <c r="Z117" s="1" t="s">
        <v>613</v>
      </c>
      <c r="AA117" s="1" t="s">
        <v>614</v>
      </c>
      <c r="AB117" s="1" t="s">
        <v>301</v>
      </c>
      <c r="AC117" s="1" t="s">
        <v>309</v>
      </c>
    </row>
    <row r="118" spans="1:29">
      <c r="A118" s="2">
        <v>82223</v>
      </c>
      <c r="B118" s="28" t="s">
        <v>303</v>
      </c>
      <c r="C118" s="28" t="s">
        <v>154</v>
      </c>
      <c r="D118" s="22" t="s">
        <v>2281</v>
      </c>
      <c r="E118" s="8" t="str">
        <f>HYPERLINK("https://stat100.ameba.jp/tnk47/ratio20/illustrations/card/ill_82223_oyayubihime03.jpg", "■")</f>
        <v>■</v>
      </c>
      <c r="F118" s="1" t="s">
        <v>608</v>
      </c>
      <c r="G118" s="2"/>
      <c r="H118" s="2"/>
      <c r="K118" s="2"/>
      <c r="L118" s="2"/>
      <c r="N118" s="2"/>
      <c r="O118" s="59"/>
      <c r="P118" s="2"/>
      <c r="Q118" s="2"/>
      <c r="R118" s="2"/>
      <c r="S118" s="2"/>
      <c r="T118" s="2"/>
      <c r="U118" s="2"/>
      <c r="V118" s="17" t="s">
        <v>3445</v>
      </c>
      <c r="W118" s="1">
        <v>22</v>
      </c>
      <c r="X118" s="1">
        <v>108306</v>
      </c>
      <c r="Y118" s="1">
        <v>100698</v>
      </c>
      <c r="Z118" s="1" t="s">
        <v>615</v>
      </c>
      <c r="AA118" s="1" t="s">
        <v>616</v>
      </c>
      <c r="AB118" s="1" t="s">
        <v>301</v>
      </c>
      <c r="AC118" s="1" t="s">
        <v>309</v>
      </c>
    </row>
    <row r="119" spans="1:29">
      <c r="A119" s="2">
        <v>82233</v>
      </c>
      <c r="B119" s="28" t="s">
        <v>306</v>
      </c>
      <c r="C119" s="28" t="s">
        <v>17</v>
      </c>
      <c r="D119" s="22" t="s">
        <v>2282</v>
      </c>
      <c r="E119" s="8" t="str">
        <f>HYPERLINK("https://stat100.ameba.jp/tnk47/ratio20/illustrations/card/ill_82233_iseokiku03.jpg", "■")</f>
        <v>■</v>
      </c>
      <c r="F119" s="1" t="s">
        <v>609</v>
      </c>
      <c r="G119" s="2"/>
      <c r="H119" s="2"/>
      <c r="J119" s="14"/>
      <c r="L119" s="2"/>
      <c r="V119" s="1" t="s">
        <v>3615</v>
      </c>
      <c r="W119" s="1">
        <v>22</v>
      </c>
      <c r="X119" s="1">
        <v>108306</v>
      </c>
      <c r="Y119" s="1">
        <v>100698</v>
      </c>
      <c r="Z119" s="1" t="s">
        <v>617</v>
      </c>
      <c r="AA119" s="1" t="s">
        <v>618</v>
      </c>
      <c r="AB119" s="1" t="s">
        <v>301</v>
      </c>
      <c r="AC119" s="1" t="s">
        <v>309</v>
      </c>
    </row>
    <row r="120" spans="1:29">
      <c r="A120" s="2">
        <v>82243</v>
      </c>
      <c r="B120" s="28" t="s">
        <v>310</v>
      </c>
      <c r="C120" s="28" t="s">
        <v>51</v>
      </c>
      <c r="D120" s="22" t="s">
        <v>2283</v>
      </c>
      <c r="E120" s="8" t="str">
        <f>HYPERLINK("https://stat100.ameba.jp/tnk47/ratio20/illustrations/card/ill_82243_nanohana03.jpg", "■")</f>
        <v>■</v>
      </c>
      <c r="F120" s="1" t="s">
        <v>610</v>
      </c>
      <c r="G120" s="2"/>
      <c r="K120" s="2"/>
      <c r="L120" s="2"/>
      <c r="M120" s="2"/>
      <c r="N120" s="2"/>
      <c r="O120" s="2"/>
      <c r="P120" s="2"/>
      <c r="Q120" s="2"/>
      <c r="R120" s="2"/>
      <c r="S120" s="2"/>
      <c r="T120" s="2"/>
      <c r="U120" s="2"/>
      <c r="V120" s="6" t="s">
        <v>3446</v>
      </c>
      <c r="W120" s="1">
        <v>22</v>
      </c>
      <c r="X120" s="1">
        <v>108306</v>
      </c>
      <c r="Y120" s="1">
        <v>100698</v>
      </c>
      <c r="Z120" s="1" t="s">
        <v>619</v>
      </c>
      <c r="AA120" s="1" t="s">
        <v>620</v>
      </c>
      <c r="AB120" s="1" t="s">
        <v>301</v>
      </c>
      <c r="AC120" s="1" t="s">
        <v>309</v>
      </c>
    </row>
    <row r="121" spans="1:29">
      <c r="A121" s="2">
        <v>82253</v>
      </c>
      <c r="B121" s="28" t="s">
        <v>313</v>
      </c>
      <c r="C121" s="28" t="s">
        <v>26</v>
      </c>
      <c r="D121" s="22" t="s">
        <v>2284</v>
      </c>
      <c r="E121" s="8" t="str">
        <f>HYPERLINK("https://stat100.ameba.jp/tnk47/ratio20/illustrations/card/ill_82253_ajisaikyogokuichiko03.jpg", "■")</f>
        <v>■</v>
      </c>
      <c r="F121" s="1" t="s">
        <v>611</v>
      </c>
      <c r="G121" s="2"/>
      <c r="H121" s="2"/>
      <c r="K121" s="2"/>
      <c r="L121" s="2"/>
      <c r="M121" s="2"/>
      <c r="N121" s="2"/>
      <c r="O121" s="2"/>
      <c r="P121" s="2"/>
      <c r="Q121" s="2"/>
      <c r="R121" s="2"/>
      <c r="S121" s="2"/>
      <c r="T121" s="2"/>
      <c r="U121" s="2"/>
      <c r="V121" s="6" t="s">
        <v>3447</v>
      </c>
      <c r="W121" s="1">
        <v>22</v>
      </c>
      <c r="X121" s="1">
        <v>100698</v>
      </c>
      <c r="Y121" s="1">
        <v>108306</v>
      </c>
      <c r="Z121" s="1" t="s">
        <v>621</v>
      </c>
      <c r="AA121" s="1" t="s">
        <v>622</v>
      </c>
      <c r="AB121" s="1" t="s">
        <v>301</v>
      </c>
      <c r="AC121" s="1" t="s">
        <v>309</v>
      </c>
    </row>
    <row r="122" spans="1:29">
      <c r="A122" s="2">
        <v>82263</v>
      </c>
      <c r="B122" s="28" t="s">
        <v>316</v>
      </c>
      <c r="C122" s="28" t="s">
        <v>174</v>
      </c>
      <c r="D122" s="22" t="s">
        <v>2991</v>
      </c>
      <c r="E122" s="8" t="str">
        <f>HYPERLINK("https://stat100.ameba.jp/tnk47/ratio20/illustrations/card/ill_82263_euterupe03.jpg", "■")</f>
        <v>■</v>
      </c>
      <c r="F122" s="1" t="s">
        <v>612</v>
      </c>
      <c r="G122" s="2"/>
      <c r="H122" s="2"/>
      <c r="K122" s="2"/>
      <c r="L122" s="2"/>
      <c r="M122" s="2"/>
      <c r="N122" s="2"/>
      <c r="O122" s="2"/>
      <c r="P122" s="2"/>
      <c r="Q122" s="2"/>
      <c r="R122" s="2"/>
      <c r="S122" s="2"/>
      <c r="T122" s="2"/>
      <c r="U122" s="2"/>
      <c r="V122" s="6" t="s">
        <v>3448</v>
      </c>
      <c r="W122" s="1">
        <v>22</v>
      </c>
      <c r="X122" s="1">
        <v>100698</v>
      </c>
      <c r="Y122" s="1">
        <v>108306</v>
      </c>
      <c r="Z122" s="1" t="s">
        <v>623</v>
      </c>
      <c r="AA122" s="1" t="s">
        <v>624</v>
      </c>
      <c r="AB122" s="1" t="s">
        <v>301</v>
      </c>
      <c r="AC122" s="1" t="s">
        <v>309</v>
      </c>
    </row>
    <row r="123" spans="1:29">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row>
    <row r="124" spans="1:29">
      <c r="A124" s="1" t="s">
        <v>3329</v>
      </c>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row>
    <row r="125" spans="1:29">
      <c r="A125" s="2" t="s">
        <v>786</v>
      </c>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10"/>
      <c r="AB125" s="2"/>
      <c r="AC125" s="2"/>
    </row>
    <row r="126" spans="1:29">
      <c r="A126" s="10" t="s">
        <v>3664</v>
      </c>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10"/>
      <c r="AB126" s="2"/>
      <c r="AC126" s="2"/>
    </row>
    <row r="127" spans="1:29" s="97" customFormat="1">
      <c r="A127" s="10" t="s">
        <v>3708</v>
      </c>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10"/>
      <c r="AB127" s="2"/>
      <c r="AC127" s="2"/>
    </row>
    <row r="128" spans="1:29">
      <c r="A128" s="28">
        <v>83973</v>
      </c>
      <c r="B128" s="28" t="s">
        <v>297</v>
      </c>
      <c r="C128" s="28" t="s">
        <v>51</v>
      </c>
      <c r="D128" s="22" t="s">
        <v>3582</v>
      </c>
      <c r="E128" s="8" t="str">
        <f>HYPERLINK("https://stat100.ameba.jp/tnk47/ratio20/illustrations/card/ill_83973_nekokishiirurosu03.jpg", "■")</f>
        <v>■</v>
      </c>
      <c r="F128" s="1" t="s">
        <v>672</v>
      </c>
      <c r="G128" s="2"/>
      <c r="H128" s="2"/>
      <c r="I128" s="92"/>
      <c r="K128" s="2"/>
      <c r="L128" s="2"/>
      <c r="M128" s="34"/>
      <c r="N128" s="59"/>
      <c r="O128" s="2"/>
      <c r="P128" s="2"/>
      <c r="S128" s="2"/>
      <c r="T128" s="2"/>
      <c r="U128" s="2"/>
      <c r="V128" s="1" t="s">
        <v>3522</v>
      </c>
      <c r="W128" s="1">
        <v>22</v>
      </c>
      <c r="X128" s="1">
        <v>108306</v>
      </c>
      <c r="Y128" s="1">
        <v>100698</v>
      </c>
      <c r="Z128" s="1" t="s">
        <v>673</v>
      </c>
      <c r="AA128" s="1" t="s">
        <v>848</v>
      </c>
      <c r="AB128" s="1" t="s">
        <v>301</v>
      </c>
      <c r="AC128" s="1" t="s">
        <v>309</v>
      </c>
    </row>
    <row r="129" spans="1:29">
      <c r="A129" s="28">
        <v>83983</v>
      </c>
      <c r="B129" s="28" t="s">
        <v>303</v>
      </c>
      <c r="C129" s="28" t="s">
        <v>174</v>
      </c>
      <c r="D129" s="22" t="s">
        <v>2278</v>
      </c>
      <c r="E129" s="8" t="str">
        <f>HYPERLINK("https://stat100.ameba.jp/tnk47/ratio20/illustrations/card/ill_83983_ryujinsui03.jpg", "■")</f>
        <v>■</v>
      </c>
      <c r="F129" s="1" t="s">
        <v>684</v>
      </c>
      <c r="G129" s="2"/>
      <c r="H129" s="2"/>
      <c r="I129" s="92"/>
      <c r="K129" s="2"/>
      <c r="L129" s="2"/>
      <c r="M129" s="2"/>
      <c r="N129" s="2"/>
      <c r="O129" s="2"/>
      <c r="P129" s="2"/>
      <c r="Q129" s="2"/>
      <c r="R129" s="2"/>
      <c r="S129" s="2"/>
      <c r="T129" s="2"/>
      <c r="U129" s="2"/>
      <c r="V129" s="2" t="s">
        <v>3523</v>
      </c>
      <c r="W129" s="1">
        <v>22</v>
      </c>
      <c r="X129" s="1">
        <v>100698</v>
      </c>
      <c r="Y129" s="1">
        <v>108306</v>
      </c>
      <c r="Z129" s="1" t="s">
        <v>674</v>
      </c>
      <c r="AA129" s="1" t="s">
        <v>675</v>
      </c>
      <c r="AB129" s="1" t="s">
        <v>301</v>
      </c>
      <c r="AC129" s="1" t="s">
        <v>309</v>
      </c>
    </row>
    <row r="130" spans="1:29">
      <c r="A130" s="28">
        <v>83993</v>
      </c>
      <c r="B130" s="28" t="s">
        <v>306</v>
      </c>
      <c r="C130" s="28" t="s">
        <v>149</v>
      </c>
      <c r="D130" s="22" t="s">
        <v>2279</v>
      </c>
      <c r="E130" s="8" t="str">
        <f>HYPERLINK("https://stat100.ameba.jp/tnk47/ratio20/illustrations/card/ill_83993_enjieruzuranotamagochan03.jpg", "■")</f>
        <v>■</v>
      </c>
      <c r="F130" s="1" t="s">
        <v>685</v>
      </c>
      <c r="G130" s="2"/>
      <c r="H130" s="2"/>
      <c r="I130" s="92"/>
      <c r="M130" s="2"/>
      <c r="N130" s="2"/>
      <c r="O130" s="59"/>
      <c r="V130" s="1" t="s">
        <v>3524</v>
      </c>
      <c r="W130" s="1">
        <v>22</v>
      </c>
      <c r="X130" s="1">
        <v>100698</v>
      </c>
      <c r="Y130" s="1">
        <v>108306</v>
      </c>
      <c r="Z130" s="1" t="s">
        <v>676</v>
      </c>
      <c r="AA130" s="1" t="s">
        <v>677</v>
      </c>
      <c r="AB130" s="1" t="s">
        <v>301</v>
      </c>
      <c r="AC130" s="1" t="s">
        <v>309</v>
      </c>
    </row>
    <row r="131" spans="1:29">
      <c r="A131" s="28">
        <v>84003</v>
      </c>
      <c r="B131" s="28" t="s">
        <v>310</v>
      </c>
      <c r="C131" s="28" t="s">
        <v>191</v>
      </c>
      <c r="D131" s="22" t="s">
        <v>2280</v>
      </c>
      <c r="E131" s="8" t="str">
        <f>HYPERLINK("https://stat100.ameba.jp/tnk47/ratio20/illustrations/card/ill_84003_sukoropendora03.jpg", "■")</f>
        <v>■</v>
      </c>
      <c r="F131" s="1" t="s">
        <v>686</v>
      </c>
      <c r="G131" s="2"/>
      <c r="H131" s="2"/>
      <c r="I131" s="92"/>
      <c r="K131" s="2"/>
      <c r="L131" s="2"/>
      <c r="N131" s="92"/>
      <c r="O131" s="2"/>
      <c r="P131" s="2"/>
      <c r="Q131" s="2"/>
      <c r="R131" s="2"/>
      <c r="S131" s="2"/>
      <c r="T131" s="2"/>
      <c r="U131" s="2"/>
      <c r="V131" s="2" t="s">
        <v>3525</v>
      </c>
      <c r="W131" s="1">
        <v>22</v>
      </c>
      <c r="X131" s="1">
        <v>108306</v>
      </c>
      <c r="Y131" s="1">
        <v>100698</v>
      </c>
      <c r="Z131" s="1" t="s">
        <v>678</v>
      </c>
      <c r="AA131" s="1" t="s">
        <v>679</v>
      </c>
      <c r="AB131" s="1" t="s">
        <v>301</v>
      </c>
      <c r="AC131" s="1" t="s">
        <v>309</v>
      </c>
    </row>
    <row r="132" spans="1:29">
      <c r="A132" s="28">
        <v>84013</v>
      </c>
      <c r="B132" s="28" t="s">
        <v>313</v>
      </c>
      <c r="C132" s="28" t="s">
        <v>96</v>
      </c>
      <c r="D132" s="22" t="s">
        <v>3507</v>
      </c>
      <c r="E132" s="8" t="str">
        <f>HYPERLINK("https://stat100.ameba.jp/tnk47/ratio20/illustrations/card/ill_84013_neikiddo03.jpg", "■")</f>
        <v>■</v>
      </c>
      <c r="F132" s="1" t="s">
        <v>687</v>
      </c>
      <c r="G132" s="2"/>
      <c r="H132" s="2"/>
      <c r="L132" s="2"/>
      <c r="M132" s="59"/>
      <c r="N132" s="92"/>
      <c r="O132" s="2"/>
      <c r="P132" s="2"/>
      <c r="S132" s="2"/>
      <c r="T132" s="2"/>
      <c r="U132" s="2"/>
      <c r="V132" s="1" t="s">
        <v>3526</v>
      </c>
      <c r="W132" s="1">
        <v>22</v>
      </c>
      <c r="X132" s="1">
        <v>100698</v>
      </c>
      <c r="Y132" s="1">
        <v>108306</v>
      </c>
      <c r="Z132" s="1" t="s">
        <v>680</v>
      </c>
      <c r="AA132" s="1" t="s">
        <v>681</v>
      </c>
      <c r="AB132" s="1" t="s">
        <v>301</v>
      </c>
      <c r="AC132" s="1" t="s">
        <v>309</v>
      </c>
    </row>
    <row r="133" spans="1:29">
      <c r="A133" s="28">
        <v>76763</v>
      </c>
      <c r="B133" s="28" t="s">
        <v>316</v>
      </c>
      <c r="C133" s="28" t="s">
        <v>17</v>
      </c>
      <c r="D133" s="22" t="s">
        <v>2992</v>
      </c>
      <c r="E133" s="8" t="str">
        <f>HYPERLINK("https://stat100.ameba.jp/tnk47/ratio20/illustrations/card/ill_76763_monsutanabeshimakeiginni03.jpg", "■")</f>
        <v>■</v>
      </c>
      <c r="F133" s="1" t="s">
        <v>688</v>
      </c>
      <c r="G133" s="2"/>
      <c r="H133" s="2"/>
      <c r="I133" s="92"/>
      <c r="K133" s="71"/>
      <c r="L133" s="2"/>
      <c r="M133" s="2"/>
      <c r="N133" s="2"/>
      <c r="O133" s="2"/>
      <c r="P133" s="2"/>
      <c r="Q133" s="2"/>
      <c r="R133" s="2"/>
      <c r="S133" s="2"/>
      <c r="T133" s="2"/>
      <c r="U133" s="2"/>
      <c r="V133" s="2" t="s">
        <v>3527</v>
      </c>
      <c r="W133" s="1">
        <v>22</v>
      </c>
      <c r="X133" s="1">
        <v>108306</v>
      </c>
      <c r="Y133" s="1">
        <v>100698</v>
      </c>
      <c r="Z133" s="1" t="s">
        <v>682</v>
      </c>
      <c r="AA133" s="1" t="s">
        <v>683</v>
      </c>
      <c r="AB133" s="1" t="s">
        <v>301</v>
      </c>
      <c r="AC133" s="1" t="s">
        <v>309</v>
      </c>
    </row>
    <row r="134" spans="1:29" s="19" customForma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row>
    <row r="135" spans="1:29">
      <c r="A135" s="1" t="s">
        <v>3329</v>
      </c>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row>
    <row r="136" spans="1:29">
      <c r="A136" s="2" t="s">
        <v>2100</v>
      </c>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row>
    <row r="137" spans="1:29">
      <c r="A137" s="2" t="s">
        <v>3422</v>
      </c>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row>
    <row r="138" spans="1:29">
      <c r="A138" s="28">
        <v>86063</v>
      </c>
      <c r="B138" s="28" t="s">
        <v>297</v>
      </c>
      <c r="C138" s="28" t="s">
        <v>87</v>
      </c>
      <c r="D138" s="22" t="s">
        <v>3583</v>
      </c>
      <c r="E138" s="8" t="str">
        <f>HYPERLINK("https://stat100.ameba.jp/tnk47/ratio20/illustrations/card/ill_86063_uotchimeika03.jpg", "■")</f>
        <v>■</v>
      </c>
      <c r="F138" s="1" t="s">
        <v>765</v>
      </c>
      <c r="G138" s="2"/>
      <c r="H138" s="2"/>
      <c r="I138" s="2"/>
      <c r="J138" s="49"/>
      <c r="K138" s="2"/>
      <c r="L138" s="2"/>
      <c r="M138" s="2"/>
      <c r="N138" s="2"/>
      <c r="O138" s="2"/>
      <c r="P138" s="2"/>
      <c r="Q138" s="2"/>
      <c r="R138" s="2"/>
      <c r="S138" s="2"/>
      <c r="T138" s="2"/>
      <c r="U138" s="2"/>
      <c r="V138" s="1" t="s">
        <v>3600</v>
      </c>
      <c r="W138" s="1">
        <v>22</v>
      </c>
      <c r="X138" s="1">
        <v>100698</v>
      </c>
      <c r="Y138" s="1">
        <v>108306</v>
      </c>
      <c r="Z138" s="1" t="s">
        <v>759</v>
      </c>
      <c r="AA138" s="1" t="s">
        <v>842</v>
      </c>
      <c r="AB138" s="1" t="s">
        <v>301</v>
      </c>
      <c r="AC138" s="1" t="s">
        <v>309</v>
      </c>
    </row>
    <row r="139" spans="1:29">
      <c r="A139" s="28">
        <v>86073</v>
      </c>
      <c r="B139" s="28" t="s">
        <v>757</v>
      </c>
      <c r="C139" s="28" t="s">
        <v>154</v>
      </c>
      <c r="D139" s="22" t="s">
        <v>2274</v>
      </c>
      <c r="E139" s="8" t="str">
        <f>HYPERLINK("https://stat100.ameba.jp/tnk47/ratio20/illustrations/card/ill_86073_maddohatta03.jpg", "■")</f>
        <v>■</v>
      </c>
      <c r="F139" s="1" t="s">
        <v>766</v>
      </c>
      <c r="G139" s="2"/>
      <c r="H139" s="97"/>
      <c r="I139" s="2"/>
      <c r="J139" s="97"/>
      <c r="K139" s="97"/>
      <c r="L139" s="14"/>
      <c r="M139" s="97"/>
      <c r="N139" s="2"/>
      <c r="O139" s="59"/>
      <c r="P139" s="2"/>
      <c r="Q139" s="2"/>
      <c r="R139" s="2"/>
      <c r="S139" s="2"/>
      <c r="T139" s="2"/>
      <c r="U139" s="2"/>
      <c r="V139" s="1" t="s">
        <v>3616</v>
      </c>
      <c r="W139" s="1">
        <v>22</v>
      </c>
      <c r="X139" s="1">
        <v>100698</v>
      </c>
      <c r="Y139" s="1">
        <v>108306</v>
      </c>
      <c r="Z139" s="1" t="s">
        <v>760</v>
      </c>
      <c r="AA139" s="1" t="s">
        <v>843</v>
      </c>
      <c r="AB139" s="1" t="s">
        <v>301</v>
      </c>
      <c r="AC139" s="1" t="s">
        <v>309</v>
      </c>
    </row>
    <row r="140" spans="1:29">
      <c r="A140" s="28">
        <v>86083</v>
      </c>
      <c r="B140" s="28" t="s">
        <v>758</v>
      </c>
      <c r="C140" s="28" t="s">
        <v>51</v>
      </c>
      <c r="D140" s="22" t="s">
        <v>2275</v>
      </c>
      <c r="E140" s="8" t="str">
        <f>HYPERLINK("https://stat100.ameba.jp/tnk47/ratio20/illustrations/card/ill_86083_keieinochojomeruro03.jpg", "■")</f>
        <v>■</v>
      </c>
      <c r="F140" s="1" t="s">
        <v>767</v>
      </c>
      <c r="G140" s="2"/>
      <c r="H140" s="2"/>
      <c r="I140" s="2"/>
      <c r="J140" s="2"/>
      <c r="K140" s="2"/>
      <c r="L140" s="2"/>
      <c r="M140" s="97"/>
      <c r="N140" s="2"/>
      <c r="O140" s="2"/>
      <c r="P140" s="2"/>
      <c r="Q140" s="2"/>
      <c r="R140" s="2"/>
      <c r="S140" s="2"/>
      <c r="T140" s="2"/>
      <c r="U140" s="97"/>
      <c r="V140" s="1" t="s">
        <v>3598</v>
      </c>
      <c r="W140" s="1">
        <v>22</v>
      </c>
      <c r="X140" s="1">
        <v>108306</v>
      </c>
      <c r="Y140" s="1">
        <v>100698</v>
      </c>
      <c r="Z140" s="1" t="s">
        <v>761</v>
      </c>
      <c r="AA140" s="1" t="s">
        <v>844</v>
      </c>
      <c r="AB140" s="1" t="s">
        <v>301</v>
      </c>
      <c r="AC140" s="1" t="s">
        <v>309</v>
      </c>
    </row>
    <row r="141" spans="1:29">
      <c r="A141" s="28">
        <v>86093</v>
      </c>
      <c r="B141" s="28" t="s">
        <v>310</v>
      </c>
      <c r="C141" s="28" t="s">
        <v>96</v>
      </c>
      <c r="D141" s="22" t="s">
        <v>2276</v>
      </c>
      <c r="E141" s="8" t="str">
        <f>HYPERLINK("https://stat100.ameba.jp/tnk47/ratio20/illustrations/card/ill_86093_minamotonoyoshimitsu03.jpg", "■")</f>
        <v>■</v>
      </c>
      <c r="F141" s="1" t="s">
        <v>768</v>
      </c>
      <c r="G141" s="2"/>
      <c r="H141" s="97"/>
      <c r="I141" s="2"/>
      <c r="J141" s="2"/>
      <c r="K141" s="2"/>
      <c r="L141" s="97"/>
      <c r="M141" s="97"/>
      <c r="N141" s="97"/>
      <c r="O141" s="97"/>
      <c r="P141" s="2"/>
      <c r="Q141" s="2"/>
      <c r="R141" s="2"/>
      <c r="S141" s="2"/>
      <c r="T141" s="2"/>
      <c r="U141" s="2"/>
      <c r="V141" s="1" t="s">
        <v>3597</v>
      </c>
      <c r="W141" s="1">
        <v>22</v>
      </c>
      <c r="X141" s="1">
        <v>108306</v>
      </c>
      <c r="Y141" s="1">
        <v>100698</v>
      </c>
      <c r="Z141" s="1" t="s">
        <v>762</v>
      </c>
      <c r="AA141" s="1" t="s">
        <v>845</v>
      </c>
      <c r="AB141" s="1" t="s">
        <v>301</v>
      </c>
      <c r="AC141" s="1" t="s">
        <v>309</v>
      </c>
    </row>
    <row r="142" spans="1:29">
      <c r="A142" s="28">
        <v>86103</v>
      </c>
      <c r="B142" s="28" t="s">
        <v>168</v>
      </c>
      <c r="C142" s="28" t="s">
        <v>174</v>
      </c>
      <c r="D142" s="22" t="s">
        <v>2277</v>
      </c>
      <c r="E142" s="8" t="str">
        <f>HYPERLINK("https://stat100.ameba.jp/tnk47/ratio20/illustrations/card/ill_86103_omatsudaimyojin03.jpg", "■")</f>
        <v>■</v>
      </c>
      <c r="F142" s="1" t="s">
        <v>769</v>
      </c>
      <c r="G142" s="2"/>
      <c r="H142" s="2"/>
      <c r="I142" s="2"/>
      <c r="K142" s="2"/>
      <c r="L142" s="2"/>
      <c r="M142" s="2"/>
      <c r="N142" s="97"/>
      <c r="O142" s="97"/>
      <c r="P142" s="2"/>
      <c r="Q142" s="2"/>
      <c r="R142" s="2"/>
      <c r="S142" s="2"/>
      <c r="T142" s="2"/>
      <c r="U142" s="2"/>
      <c r="V142" s="1" t="s">
        <v>3596</v>
      </c>
      <c r="W142" s="1">
        <v>22</v>
      </c>
      <c r="X142" s="1">
        <v>108306</v>
      </c>
      <c r="Y142" s="1">
        <v>100698</v>
      </c>
      <c r="Z142" s="1" t="s">
        <v>763</v>
      </c>
      <c r="AA142" s="1" t="s">
        <v>846</v>
      </c>
      <c r="AB142" s="1" t="s">
        <v>301</v>
      </c>
      <c r="AC142" s="1" t="s">
        <v>309</v>
      </c>
    </row>
    <row r="143" spans="1:29">
      <c r="A143" s="28">
        <v>86113</v>
      </c>
      <c r="B143" s="28" t="s">
        <v>316</v>
      </c>
      <c r="C143" s="28" t="s">
        <v>26</v>
      </c>
      <c r="D143" s="22" t="s">
        <v>2993</v>
      </c>
      <c r="E143" s="8" t="str">
        <f>HYPERLINK("https://stat100.ameba.jp/tnk47/ratio20/illustrations/card/ill_86113_yuno03.jpg", "■")</f>
        <v>■</v>
      </c>
      <c r="F143" s="1" t="s">
        <v>770</v>
      </c>
      <c r="G143" s="2"/>
      <c r="H143" s="2"/>
      <c r="I143" s="2"/>
      <c r="J143" s="97"/>
      <c r="K143" s="2"/>
      <c r="M143" s="97"/>
      <c r="N143" s="2"/>
      <c r="O143" s="2"/>
      <c r="P143" s="2"/>
      <c r="Q143" s="2"/>
      <c r="R143" s="97"/>
      <c r="S143" s="2"/>
      <c r="T143" s="2"/>
      <c r="U143" s="2"/>
      <c r="V143" s="1" t="s">
        <v>3599</v>
      </c>
      <c r="W143" s="1">
        <v>22</v>
      </c>
      <c r="X143" s="1">
        <v>100698</v>
      </c>
      <c r="Y143" s="1">
        <v>108306</v>
      </c>
      <c r="Z143" s="1" t="s">
        <v>764</v>
      </c>
      <c r="AA143" s="1" t="s">
        <v>847</v>
      </c>
      <c r="AB143" s="1" t="s">
        <v>301</v>
      </c>
      <c r="AC143" s="1" t="s">
        <v>309</v>
      </c>
    </row>
    <row r="144" spans="1:29" s="51" customFormat="1">
      <c r="A144" s="2"/>
      <c r="B144" s="2"/>
      <c r="C144" s="2"/>
      <c r="D144" s="2"/>
      <c r="F144" s="2"/>
      <c r="G144" s="2"/>
      <c r="H144" s="2"/>
      <c r="I144" s="2"/>
      <c r="J144" s="2"/>
      <c r="K144" s="2"/>
      <c r="L144" s="2"/>
      <c r="M144" s="2"/>
      <c r="N144" s="2"/>
      <c r="O144" s="2"/>
      <c r="P144" s="2"/>
      <c r="Q144" s="2"/>
      <c r="R144" s="2"/>
      <c r="S144" s="2"/>
      <c r="T144" s="2"/>
      <c r="U144" s="2"/>
      <c r="V144" s="2"/>
      <c r="W144" s="2"/>
      <c r="X144" s="2"/>
      <c r="Y144" s="2"/>
      <c r="Z144" s="2"/>
      <c r="AA144" s="2"/>
      <c r="AB144" s="2"/>
      <c r="AC144" s="2"/>
    </row>
    <row r="145" spans="1:29" s="51" customFormat="1">
      <c r="A145" s="51" t="s">
        <v>3329</v>
      </c>
      <c r="B145" s="2"/>
      <c r="C145" s="2"/>
      <c r="D145" s="2"/>
      <c r="F145" s="2"/>
      <c r="G145" s="2"/>
      <c r="H145" s="2"/>
      <c r="I145" s="2"/>
      <c r="J145" s="2"/>
      <c r="K145" s="2"/>
      <c r="L145" s="2"/>
      <c r="M145" s="2"/>
      <c r="N145" s="2"/>
      <c r="O145" s="2"/>
      <c r="P145" s="2"/>
      <c r="Q145" s="2"/>
      <c r="R145" s="2"/>
      <c r="S145" s="2"/>
      <c r="T145" s="2"/>
      <c r="U145" s="2"/>
      <c r="V145" s="2"/>
      <c r="W145" s="2"/>
      <c r="X145" s="2"/>
      <c r="Y145" s="2"/>
      <c r="Z145" s="2"/>
      <c r="AA145" s="2"/>
      <c r="AB145" s="2"/>
      <c r="AC145" s="2"/>
    </row>
    <row r="146" spans="1:29" s="19" customFormat="1">
      <c r="A146" s="2" t="s">
        <v>2101</v>
      </c>
      <c r="B146" s="2"/>
      <c r="C146" s="2"/>
      <c r="D146" s="2"/>
      <c r="E146" s="8"/>
      <c r="F146" s="2"/>
      <c r="G146" s="2"/>
      <c r="H146" s="2"/>
      <c r="I146" s="2"/>
      <c r="J146" s="2"/>
      <c r="K146" s="2"/>
      <c r="L146" s="2"/>
      <c r="M146" s="2"/>
      <c r="N146" s="2"/>
      <c r="O146" s="2"/>
      <c r="P146" s="2"/>
      <c r="Q146" s="2"/>
      <c r="R146" s="2"/>
      <c r="S146" s="2"/>
      <c r="T146" s="2"/>
      <c r="U146" s="2"/>
      <c r="V146" s="2"/>
      <c r="W146" s="2"/>
      <c r="X146" s="2"/>
      <c r="Y146" s="2"/>
      <c r="Z146" s="2"/>
      <c r="AA146" s="2"/>
      <c r="AB146" s="2"/>
      <c r="AC146" s="2"/>
    </row>
    <row r="147" spans="1:29" s="19" customFormat="1">
      <c r="A147" s="2" t="s">
        <v>3273</v>
      </c>
      <c r="B147" s="2"/>
      <c r="C147" s="2"/>
      <c r="D147" s="2"/>
      <c r="E147" s="8"/>
      <c r="F147" s="2"/>
      <c r="G147" s="2"/>
      <c r="H147" s="2"/>
      <c r="I147" s="2"/>
      <c r="J147" s="2"/>
      <c r="K147" s="2"/>
      <c r="L147" s="2"/>
      <c r="M147" s="2"/>
      <c r="N147" s="2"/>
      <c r="O147" s="2"/>
      <c r="P147" s="2"/>
      <c r="Q147" s="2"/>
      <c r="R147" s="2"/>
      <c r="S147" s="2"/>
      <c r="T147" s="2"/>
      <c r="U147" s="2"/>
      <c r="V147" s="2"/>
      <c r="W147" s="2"/>
      <c r="X147" s="2"/>
      <c r="Y147" s="2"/>
      <c r="Z147" s="2"/>
      <c r="AA147" s="2"/>
      <c r="AB147" s="2"/>
      <c r="AC147" s="2"/>
    </row>
    <row r="148" spans="1:29" s="19" customFormat="1">
      <c r="A148" s="28">
        <v>88153</v>
      </c>
      <c r="B148" s="28" t="s">
        <v>297</v>
      </c>
      <c r="C148" s="28" t="s">
        <v>2102</v>
      </c>
      <c r="D148" s="22" t="s">
        <v>3586</v>
      </c>
      <c r="E148" s="8" t="str">
        <f>HYPERLINK("https://stat100.ameba.jp/tnk47/ratio20/illustrations/card/ill_88153_sunofueari03.jpg", "■")</f>
        <v>■</v>
      </c>
      <c r="F148" s="19" t="s">
        <v>2119</v>
      </c>
      <c r="G148" s="2"/>
      <c r="H148" s="2"/>
      <c r="I148" s="2" t="s">
        <v>2915</v>
      </c>
      <c r="J148" s="19" t="s">
        <v>3585</v>
      </c>
      <c r="K148" s="2" t="s">
        <v>3585</v>
      </c>
      <c r="L148" s="2"/>
      <c r="M148" s="55" t="s">
        <v>974</v>
      </c>
      <c r="N148" s="2"/>
      <c r="O148" s="2"/>
      <c r="P148" s="2"/>
      <c r="Q148" s="2"/>
      <c r="R148" s="2"/>
      <c r="S148" s="2"/>
      <c r="T148" s="2"/>
      <c r="U148" s="2"/>
      <c r="V148" s="19" t="s">
        <v>3601</v>
      </c>
      <c r="W148" s="19">
        <v>22</v>
      </c>
      <c r="X148" s="19">
        <v>108306</v>
      </c>
      <c r="Y148" s="19">
        <v>100698</v>
      </c>
      <c r="Z148" s="19" t="s">
        <v>2108</v>
      </c>
      <c r="AA148" s="19" t="s">
        <v>2113</v>
      </c>
      <c r="AB148" s="19" t="s">
        <v>301</v>
      </c>
      <c r="AC148" s="19" t="s">
        <v>309</v>
      </c>
    </row>
    <row r="149" spans="1:29" s="19" customFormat="1">
      <c r="A149" s="28">
        <v>88163</v>
      </c>
      <c r="B149" s="28" t="s">
        <v>757</v>
      </c>
      <c r="C149" s="28" t="s">
        <v>2103</v>
      </c>
      <c r="D149" s="22" t="s">
        <v>2270</v>
      </c>
      <c r="E149" s="8" t="str">
        <f>HYPERLINK("https://stat100.ameba.jp/tnk47/ratio20/illustrations/card/ill_88163_shitsujitanteimagi03.jpg", "■")</f>
        <v>■</v>
      </c>
      <c r="F149" s="19" t="s">
        <v>2120</v>
      </c>
      <c r="G149" s="2"/>
      <c r="I149" s="2" t="s">
        <v>2915</v>
      </c>
      <c r="J149" s="19" t="s">
        <v>3585</v>
      </c>
      <c r="K149" s="2"/>
      <c r="L149" s="2"/>
      <c r="M149" s="2"/>
      <c r="N149" s="2"/>
      <c r="O149" s="2"/>
      <c r="P149" s="2"/>
      <c r="Q149" s="2"/>
      <c r="R149" s="2"/>
      <c r="S149" s="2"/>
      <c r="T149" s="2"/>
      <c r="U149" s="2"/>
      <c r="V149" s="19" t="s">
        <v>3602</v>
      </c>
      <c r="W149" s="19">
        <v>22</v>
      </c>
      <c r="X149" s="19">
        <v>108306</v>
      </c>
      <c r="Y149" s="19">
        <v>100698</v>
      </c>
      <c r="Z149" s="19" t="s">
        <v>2109</v>
      </c>
      <c r="AA149" s="19" t="s">
        <v>2114</v>
      </c>
      <c r="AB149" s="19" t="s">
        <v>301</v>
      </c>
      <c r="AC149" s="19" t="s">
        <v>309</v>
      </c>
    </row>
    <row r="150" spans="1:29" s="19" customFormat="1">
      <c r="A150" s="28">
        <v>88173</v>
      </c>
      <c r="B150" s="28" t="s">
        <v>758</v>
      </c>
      <c r="C150" s="28" t="s">
        <v>2104</v>
      </c>
      <c r="D150" s="22" t="s">
        <v>2271</v>
      </c>
      <c r="E150" s="8" t="str">
        <f>HYPERLINK("https://stat100.ameba.jp/tnk47/ratio20/illustrations/card/ill_88173_pichipurinsesu03.jpg", "■")</f>
        <v>■</v>
      </c>
      <c r="F150" s="19" t="s">
        <v>2121</v>
      </c>
      <c r="G150" s="2"/>
      <c r="H150" s="2"/>
      <c r="I150" s="2" t="s">
        <v>2915</v>
      </c>
      <c r="J150" s="2"/>
      <c r="K150" s="2"/>
      <c r="L150" s="2"/>
      <c r="M150" s="2" t="s">
        <v>3585</v>
      </c>
      <c r="N150" s="2"/>
      <c r="O150" s="2"/>
      <c r="P150" s="2"/>
      <c r="Q150" s="2"/>
      <c r="R150" s="2"/>
      <c r="S150" s="2"/>
      <c r="T150" s="2"/>
      <c r="U150" s="2"/>
      <c r="V150" s="19" t="s">
        <v>3603</v>
      </c>
      <c r="W150" s="19">
        <v>22</v>
      </c>
      <c r="X150" s="19">
        <v>100698</v>
      </c>
      <c r="Y150" s="19">
        <v>108306</v>
      </c>
      <c r="Z150" s="19" t="s">
        <v>2110</v>
      </c>
      <c r="AA150" s="19" t="s">
        <v>2115</v>
      </c>
      <c r="AB150" s="19" t="s">
        <v>301</v>
      </c>
      <c r="AC150" s="19" t="s">
        <v>309</v>
      </c>
    </row>
    <row r="151" spans="1:29" s="19" customFormat="1">
      <c r="A151" s="28">
        <v>88183</v>
      </c>
      <c r="B151" s="28" t="s">
        <v>310</v>
      </c>
      <c r="C151" s="28" t="s">
        <v>2105</v>
      </c>
      <c r="D151" s="22" t="s">
        <v>2272</v>
      </c>
      <c r="E151" s="8" t="str">
        <f>HYPERLINK("https://stat100.ameba.jp/tnk47/ratio20/illustrations/card/ill_88183_saikiringugaru03.jpg", "■")</f>
        <v>■</v>
      </c>
      <c r="F151" s="19" t="s">
        <v>2122</v>
      </c>
      <c r="G151" s="2"/>
      <c r="I151" s="2" t="s">
        <v>2915</v>
      </c>
      <c r="J151" s="2" t="s">
        <v>3585</v>
      </c>
      <c r="K151" s="2"/>
      <c r="L151" s="2"/>
      <c r="M151" s="2" t="s">
        <v>3585</v>
      </c>
      <c r="N151" s="71" t="s">
        <v>1086</v>
      </c>
      <c r="O151" s="2"/>
      <c r="P151" s="2"/>
      <c r="Q151" s="2"/>
      <c r="R151" s="2"/>
      <c r="S151" s="2"/>
      <c r="T151" s="2"/>
      <c r="U151" s="2"/>
      <c r="V151" s="19" t="s">
        <v>3604</v>
      </c>
      <c r="W151" s="19">
        <v>22</v>
      </c>
      <c r="X151" s="19">
        <v>100698</v>
      </c>
      <c r="Y151" s="19">
        <v>108306</v>
      </c>
      <c r="Z151" s="19" t="s">
        <v>2111</v>
      </c>
      <c r="AA151" s="19" t="s">
        <v>2116</v>
      </c>
      <c r="AB151" s="19" t="s">
        <v>301</v>
      </c>
      <c r="AC151" s="19" t="s">
        <v>309</v>
      </c>
    </row>
    <row r="152" spans="1:29" s="19" customFormat="1">
      <c r="A152" s="28">
        <v>88193</v>
      </c>
      <c r="B152" s="28" t="s">
        <v>168</v>
      </c>
      <c r="C152" s="28" t="s">
        <v>2106</v>
      </c>
      <c r="D152" s="22" t="s">
        <v>2273</v>
      </c>
      <c r="E152" s="8" t="str">
        <f>HYPERLINK("https://stat100.ameba.jp/tnk47/ratio20/illustrations/card/ill_88193_sakasunomajo03.jpg", "■")</f>
        <v>■</v>
      </c>
      <c r="F152" s="19" t="s">
        <v>2123</v>
      </c>
      <c r="G152" s="2"/>
      <c r="H152" s="2"/>
      <c r="I152" s="2" t="s">
        <v>3216</v>
      </c>
      <c r="K152" s="2"/>
      <c r="L152" s="2"/>
      <c r="M152" s="2"/>
      <c r="N152" s="2"/>
      <c r="O152" s="2"/>
      <c r="P152" s="2"/>
      <c r="Q152" s="2"/>
      <c r="R152" s="2"/>
      <c r="S152" s="2"/>
      <c r="T152" s="2"/>
      <c r="U152" s="2"/>
      <c r="V152" s="19" t="s">
        <v>3608</v>
      </c>
      <c r="W152" s="19">
        <v>22</v>
      </c>
      <c r="X152" s="19">
        <v>100698</v>
      </c>
      <c r="Y152" s="19">
        <v>108306</v>
      </c>
      <c r="Z152" s="19" t="s">
        <v>2125</v>
      </c>
      <c r="AA152" s="19" t="s">
        <v>2117</v>
      </c>
      <c r="AB152" s="19" t="s">
        <v>301</v>
      </c>
      <c r="AC152" s="19" t="s">
        <v>309</v>
      </c>
    </row>
    <row r="153" spans="1:29" s="19" customFormat="1">
      <c r="A153" s="28">
        <v>88203</v>
      </c>
      <c r="B153" s="28" t="s">
        <v>316</v>
      </c>
      <c r="C153" s="28" t="s">
        <v>2107</v>
      </c>
      <c r="D153" s="22" t="s">
        <v>2994</v>
      </c>
      <c r="E153" s="8" t="str">
        <f>HYPERLINK("https://stat100.ameba.jp/tnk47/ratio20/illustrations/card/ill_88203_soingumasuta03.jpg", "■")</f>
        <v>■</v>
      </c>
      <c r="F153" s="19" t="s">
        <v>2124</v>
      </c>
      <c r="G153" s="2"/>
      <c r="H153" s="2"/>
      <c r="I153" s="2" t="s">
        <v>2915</v>
      </c>
      <c r="J153" s="2" t="s">
        <v>3585</v>
      </c>
      <c r="K153" s="2"/>
      <c r="M153" s="2"/>
      <c r="N153" s="2"/>
      <c r="O153" s="2"/>
      <c r="P153" s="2"/>
      <c r="Q153" s="2"/>
      <c r="R153" s="2"/>
      <c r="S153" s="2"/>
      <c r="T153" s="2"/>
      <c r="U153" s="2"/>
      <c r="V153" s="19" t="s">
        <v>3602</v>
      </c>
      <c r="W153" s="19">
        <v>22</v>
      </c>
      <c r="X153" s="19">
        <v>108306</v>
      </c>
      <c r="Y153" s="19">
        <v>100698</v>
      </c>
      <c r="Z153" s="19" t="s">
        <v>2112</v>
      </c>
      <c r="AA153" s="19" t="s">
        <v>2118</v>
      </c>
      <c r="AB153" s="19" t="s">
        <v>301</v>
      </c>
      <c r="AC153" s="19" t="s">
        <v>309</v>
      </c>
    </row>
    <row r="154" spans="1:29" s="60" customFormat="1">
      <c r="A154" s="2"/>
      <c r="B154" s="2"/>
      <c r="C154" s="2"/>
      <c r="D154" s="2"/>
      <c r="F154" s="2"/>
      <c r="G154" s="2"/>
      <c r="H154" s="2"/>
      <c r="I154" s="2"/>
      <c r="J154" s="2"/>
      <c r="K154" s="2"/>
      <c r="L154" s="2"/>
      <c r="M154" s="2"/>
      <c r="N154" s="2"/>
      <c r="O154" s="2"/>
      <c r="P154" s="2"/>
      <c r="Q154" s="2"/>
      <c r="R154" s="2"/>
      <c r="S154" s="2"/>
      <c r="T154" s="2"/>
      <c r="U154" s="2"/>
      <c r="V154" s="2" t="s">
        <v>3607</v>
      </c>
      <c r="W154" s="2"/>
      <c r="X154" s="2"/>
      <c r="Y154" s="2"/>
      <c r="Z154" s="2"/>
      <c r="AA154" s="2"/>
      <c r="AB154" s="2"/>
      <c r="AC154" s="2"/>
    </row>
    <row r="156" spans="1:29">
      <c r="A156" s="2" t="s">
        <v>709</v>
      </c>
      <c r="B156" s="2"/>
      <c r="C156" s="2"/>
      <c r="D156" s="2"/>
      <c r="F156" s="2"/>
      <c r="G156" s="2"/>
      <c r="H156" s="2"/>
      <c r="I156" s="2"/>
      <c r="J156" s="2"/>
      <c r="K156" s="2"/>
      <c r="L156" s="2"/>
      <c r="M156" s="2"/>
      <c r="N156" s="2"/>
      <c r="O156" s="2"/>
      <c r="P156" s="2"/>
      <c r="Q156" s="2"/>
      <c r="R156" s="2"/>
      <c r="S156" s="2"/>
      <c r="T156" s="2"/>
      <c r="U156" s="2"/>
      <c r="V156" s="2"/>
      <c r="W156" s="2"/>
      <c r="X156" s="2"/>
      <c r="Y156" s="2"/>
      <c r="Z156" s="2"/>
      <c r="AA156" s="2"/>
      <c r="AB156" s="2"/>
      <c r="AC156" s="2"/>
    </row>
    <row r="157" spans="1:29" s="19" customFormat="1">
      <c r="A157" s="19" t="s">
        <v>3328</v>
      </c>
      <c r="B157" s="2"/>
      <c r="C157" s="2"/>
      <c r="D157" s="2"/>
      <c r="E157" s="20"/>
      <c r="F157" s="2"/>
      <c r="G157" s="2"/>
      <c r="H157" s="2"/>
      <c r="I157" s="2"/>
      <c r="J157" s="2"/>
      <c r="K157" s="2"/>
      <c r="L157" s="2"/>
      <c r="M157" s="2"/>
      <c r="N157" s="2"/>
      <c r="O157" s="2"/>
      <c r="P157" s="2"/>
      <c r="Q157" s="2"/>
      <c r="R157" s="2"/>
      <c r="S157" s="2"/>
      <c r="T157" s="2"/>
      <c r="U157" s="2"/>
      <c r="V157" s="2"/>
      <c r="W157" s="2"/>
      <c r="X157" s="2"/>
      <c r="Y157" s="2"/>
      <c r="Z157" s="2"/>
      <c r="AA157" s="2"/>
      <c r="AB157" s="2"/>
      <c r="AC157" s="2"/>
    </row>
    <row r="158" spans="1:29" s="51" customFormat="1">
      <c r="A158" s="2" t="s">
        <v>2852</v>
      </c>
      <c r="B158" s="2"/>
      <c r="C158" s="2"/>
      <c r="D158" s="2"/>
      <c r="F158" s="2"/>
      <c r="G158" s="2"/>
      <c r="H158" s="2"/>
      <c r="I158" s="2"/>
      <c r="J158" s="2"/>
      <c r="K158" s="2"/>
      <c r="L158" s="2"/>
      <c r="M158" s="2"/>
      <c r="N158" s="2"/>
      <c r="O158" s="2"/>
      <c r="P158" s="2"/>
      <c r="Q158" s="2"/>
      <c r="R158" s="2"/>
      <c r="S158" s="2"/>
      <c r="T158" s="2"/>
      <c r="U158" s="2"/>
      <c r="V158" s="2"/>
      <c r="W158" s="2"/>
      <c r="X158" s="2"/>
      <c r="Y158" s="2"/>
      <c r="Z158" s="2"/>
      <c r="AA158" s="2"/>
      <c r="AB158" s="2"/>
      <c r="AC158" s="2"/>
    </row>
    <row r="159" spans="1:29" s="51" customFormat="1">
      <c r="A159" s="2" t="s">
        <v>3712</v>
      </c>
      <c r="B159" s="2"/>
      <c r="C159" s="2"/>
      <c r="D159" s="2"/>
      <c r="F159" s="2"/>
      <c r="G159" s="2"/>
      <c r="H159" s="2"/>
      <c r="I159" s="2"/>
      <c r="J159" s="2"/>
      <c r="K159" s="2"/>
      <c r="L159" s="2"/>
      <c r="M159" s="2"/>
      <c r="N159" s="2"/>
      <c r="O159" s="2"/>
      <c r="P159" s="2"/>
      <c r="Q159" s="2"/>
      <c r="R159" s="2"/>
      <c r="S159" s="2"/>
      <c r="T159" s="2"/>
      <c r="U159" s="2"/>
      <c r="V159" s="2"/>
      <c r="W159" s="2"/>
      <c r="X159" s="2"/>
      <c r="Y159" s="2"/>
      <c r="Z159" s="2"/>
      <c r="AA159" s="2"/>
      <c r="AB159" s="2"/>
      <c r="AC159" s="2"/>
    </row>
    <row r="160" spans="1:29" s="51" customFormat="1">
      <c r="A160" s="2">
        <v>90183</v>
      </c>
      <c r="B160" s="51" t="s">
        <v>297</v>
      </c>
      <c r="C160" s="2" t="s">
        <v>67</v>
      </c>
      <c r="D160" s="2" t="s">
        <v>2854</v>
      </c>
      <c r="E160" s="8" t="str">
        <f>HYPERLINK("https://stat100.ameba.jp/tnk47/ratio20/illustrations/card/ill_90183_shinsetsunojou03.jpg", "■")</f>
        <v>■</v>
      </c>
      <c r="F160" s="2" t="s">
        <v>2855</v>
      </c>
      <c r="G160" s="2"/>
      <c r="H160" s="2"/>
      <c r="I160" s="2" t="s">
        <v>2915</v>
      </c>
      <c r="J160" s="2"/>
      <c r="K160" s="2"/>
      <c r="L160" s="2"/>
      <c r="M160" s="2" t="s">
        <v>3585</v>
      </c>
      <c r="N160" s="72" t="s">
        <v>1086</v>
      </c>
      <c r="O160" s="2" t="s">
        <v>3585</v>
      </c>
      <c r="P160" s="2"/>
      <c r="Q160" s="2"/>
      <c r="R160" s="2"/>
      <c r="S160" s="2"/>
      <c r="T160" s="2"/>
      <c r="U160" s="2" t="s">
        <v>3585</v>
      </c>
      <c r="V160" s="2" t="s">
        <v>3713</v>
      </c>
      <c r="W160" s="51">
        <v>22</v>
      </c>
      <c r="X160" s="51">
        <v>100698</v>
      </c>
      <c r="Y160" s="51">
        <v>108306</v>
      </c>
      <c r="Z160" s="2" t="s">
        <v>2853</v>
      </c>
      <c r="AA160" s="2" t="s">
        <v>3077</v>
      </c>
      <c r="AB160" s="51" t="s">
        <v>301</v>
      </c>
      <c r="AC160" s="51" t="s">
        <v>309</v>
      </c>
    </row>
    <row r="161" spans="1:29" s="51" customFormat="1">
      <c r="A161" s="2">
        <v>90193</v>
      </c>
      <c r="B161" s="51" t="s">
        <v>757</v>
      </c>
      <c r="C161" s="2" t="s">
        <v>74</v>
      </c>
      <c r="D161" s="2" t="s">
        <v>2856</v>
      </c>
      <c r="E161" s="8" t="str">
        <f>HYPERLINK("https://stat100.ameba.jp/tnk47/ratio20/illustrations/card/ill_90193_puchidebirubani03.jpg", "■")</f>
        <v>■</v>
      </c>
      <c r="F161" s="2" t="s">
        <v>2857</v>
      </c>
      <c r="G161" s="2"/>
      <c r="H161" s="2"/>
      <c r="I161" s="2" t="s">
        <v>2915</v>
      </c>
      <c r="J161" s="2"/>
      <c r="K161" s="2"/>
      <c r="L161" s="2"/>
      <c r="M161" s="2"/>
      <c r="N161" s="2" t="s">
        <v>3585</v>
      </c>
      <c r="O161" s="97" t="s">
        <v>3584</v>
      </c>
      <c r="P161" s="2"/>
      <c r="Q161" s="2"/>
      <c r="R161" s="2"/>
      <c r="S161" s="2"/>
      <c r="T161" s="2"/>
      <c r="U161" s="2"/>
      <c r="V161" s="2" t="s">
        <v>3605</v>
      </c>
      <c r="W161" s="51">
        <v>22</v>
      </c>
      <c r="X161" s="51">
        <v>100698</v>
      </c>
      <c r="Y161" s="51">
        <v>108306</v>
      </c>
      <c r="Z161" s="2" t="s">
        <v>2858</v>
      </c>
      <c r="AA161" s="2" t="s">
        <v>3078</v>
      </c>
      <c r="AB161" s="51" t="s">
        <v>301</v>
      </c>
      <c r="AC161" s="51" t="s">
        <v>309</v>
      </c>
    </row>
    <row r="162" spans="1:29" s="51" customFormat="1">
      <c r="A162" s="2">
        <v>90203</v>
      </c>
      <c r="B162" s="51" t="s">
        <v>758</v>
      </c>
      <c r="C162" s="2" t="s">
        <v>758</v>
      </c>
      <c r="D162" s="2" t="s">
        <v>2859</v>
      </c>
      <c r="E162" s="8" t="str">
        <f>HYPERLINK("https://stat100.ameba.jp/tnk47/ratio20/illustrations/card/ill_90203_kyuteigakademeru03.jpg", "■")</f>
        <v>■</v>
      </c>
      <c r="F162" s="2" t="s">
        <v>2860</v>
      </c>
      <c r="G162" s="2"/>
      <c r="H162" s="2"/>
      <c r="I162" s="2" t="s">
        <v>3199</v>
      </c>
      <c r="J162" s="2"/>
      <c r="K162" s="2"/>
      <c r="L162" s="2"/>
      <c r="M162" s="2" t="s">
        <v>974</v>
      </c>
      <c r="N162" s="2"/>
      <c r="O162" s="2"/>
      <c r="P162" s="2"/>
      <c r="Q162" s="2"/>
      <c r="R162" s="2"/>
      <c r="S162" s="2"/>
      <c r="T162" s="2"/>
      <c r="U162" s="2"/>
      <c r="V162" s="2" t="s">
        <v>3606</v>
      </c>
      <c r="W162" s="51">
        <v>22</v>
      </c>
      <c r="X162" s="51">
        <v>100698</v>
      </c>
      <c r="Y162" s="51">
        <v>108306</v>
      </c>
      <c r="Z162" s="2" t="s">
        <v>2861</v>
      </c>
      <c r="AA162" s="2" t="s">
        <v>3079</v>
      </c>
      <c r="AB162" s="51" t="s">
        <v>301</v>
      </c>
      <c r="AC162" s="51" t="s">
        <v>309</v>
      </c>
    </row>
    <row r="163" spans="1:29" s="51" customFormat="1">
      <c r="A163" s="2">
        <v>90213</v>
      </c>
      <c r="B163" s="51" t="s">
        <v>310</v>
      </c>
      <c r="C163" s="2" t="s">
        <v>123</v>
      </c>
      <c r="D163" s="2" t="s">
        <v>2862</v>
      </c>
      <c r="E163" s="8" t="str">
        <f>HYPERLINK("https://stat100.ameba.jp/tnk47/ratio20/illustrations/card/ill_90213_kenkyushinomaruyo03.jpg", "■")</f>
        <v>■</v>
      </c>
      <c r="F163" s="2" t="s">
        <v>2863</v>
      </c>
      <c r="G163" s="2"/>
      <c r="H163" s="2"/>
      <c r="I163" s="2" t="s">
        <v>3199</v>
      </c>
      <c r="J163" s="2"/>
      <c r="K163" s="54" t="s">
        <v>974</v>
      </c>
      <c r="L163" s="2"/>
      <c r="M163" s="2" t="s">
        <v>3584</v>
      </c>
      <c r="N163" s="2"/>
      <c r="O163" s="2"/>
      <c r="P163" s="2"/>
      <c r="Q163" s="2"/>
      <c r="R163" s="2"/>
      <c r="S163" s="2"/>
      <c r="T163" s="2"/>
      <c r="U163" s="2"/>
      <c r="V163" s="2" t="s">
        <v>3610</v>
      </c>
      <c r="W163" s="51">
        <v>22</v>
      </c>
      <c r="X163" s="51">
        <v>108306</v>
      </c>
      <c r="Y163" s="51">
        <v>100698</v>
      </c>
      <c r="Z163" s="2" t="s">
        <v>2864</v>
      </c>
      <c r="AA163" s="2" t="s">
        <v>3080</v>
      </c>
      <c r="AB163" s="51" t="s">
        <v>301</v>
      </c>
      <c r="AC163" s="51" t="s">
        <v>309</v>
      </c>
    </row>
    <row r="164" spans="1:29" s="51" customFormat="1">
      <c r="A164" s="2">
        <v>90223</v>
      </c>
      <c r="B164" s="51" t="s">
        <v>168</v>
      </c>
      <c r="C164" s="2" t="s">
        <v>6</v>
      </c>
      <c r="D164" s="2" t="s">
        <v>2865</v>
      </c>
      <c r="E164" s="8" t="str">
        <f>HYPERLINK("https://stat100.ameba.jp/tnk47/ratio20/illustrations/card/ill_90223_karunepurinshipe03.jpg", "■")</f>
        <v>■</v>
      </c>
      <c r="F164" s="2" t="s">
        <v>2866</v>
      </c>
      <c r="G164" s="2"/>
      <c r="H164" s="2"/>
      <c r="I164" s="2" t="s">
        <v>3216</v>
      </c>
      <c r="J164" s="2"/>
      <c r="K164" s="2"/>
      <c r="L164" s="2" t="s">
        <v>3585</v>
      </c>
      <c r="M164" s="2"/>
      <c r="N164" s="2"/>
      <c r="O164" s="2"/>
      <c r="P164" s="2"/>
      <c r="Q164" s="2"/>
      <c r="R164" s="2"/>
      <c r="S164" s="2" t="s">
        <v>3584</v>
      </c>
      <c r="T164" s="2"/>
      <c r="U164" s="2" t="s">
        <v>3585</v>
      </c>
      <c r="V164" s="2" t="s">
        <v>3714</v>
      </c>
      <c r="W164" s="51">
        <v>22</v>
      </c>
      <c r="X164" s="51">
        <v>108306</v>
      </c>
      <c r="Y164" s="51">
        <v>100698</v>
      </c>
      <c r="Z164" s="2" t="s">
        <v>2867</v>
      </c>
      <c r="AA164" s="2" t="s">
        <v>3081</v>
      </c>
      <c r="AB164" s="51" t="s">
        <v>301</v>
      </c>
      <c r="AC164" s="51" t="s">
        <v>309</v>
      </c>
    </row>
    <row r="165" spans="1:29" s="51" customFormat="1">
      <c r="A165" s="2">
        <v>90233</v>
      </c>
      <c r="B165" s="51" t="s">
        <v>316</v>
      </c>
      <c r="C165" s="2" t="s">
        <v>59</v>
      </c>
      <c r="D165" s="2" t="s">
        <v>2868</v>
      </c>
      <c r="E165" s="8" t="str">
        <f>HYPERLINK("https://stat100.ameba.jp/tnk47/ratio20/illustrations/card/ill_90233_kakutokafuante03.jpg", "■")</f>
        <v>■</v>
      </c>
      <c r="F165" s="2" t="s">
        <v>2869</v>
      </c>
      <c r="G165" s="2"/>
      <c r="H165" s="2"/>
      <c r="I165" s="2" t="s">
        <v>3199</v>
      </c>
      <c r="J165" s="2"/>
      <c r="K165" s="2"/>
      <c r="L165" s="2"/>
      <c r="M165" s="97" t="s">
        <v>1086</v>
      </c>
      <c r="N165" s="2" t="s">
        <v>974</v>
      </c>
      <c r="O165" s="2"/>
      <c r="P165" s="2"/>
      <c r="Q165" s="2"/>
      <c r="R165" s="2"/>
      <c r="S165" s="2"/>
      <c r="T165" s="2" t="s">
        <v>3585</v>
      </c>
      <c r="U165" s="2"/>
      <c r="V165" s="2" t="s">
        <v>3704</v>
      </c>
      <c r="W165" s="51">
        <v>22</v>
      </c>
      <c r="X165" s="51">
        <v>108306</v>
      </c>
      <c r="Y165" s="51">
        <v>100698</v>
      </c>
      <c r="Z165" s="2" t="s">
        <v>2870</v>
      </c>
      <c r="AA165" s="2" t="s">
        <v>3082</v>
      </c>
      <c r="AB165" s="51" t="s">
        <v>301</v>
      </c>
      <c r="AC165" s="51" t="s">
        <v>309</v>
      </c>
    </row>
    <row r="166" spans="1:29" s="63" customFormat="1">
      <c r="A166" s="2"/>
      <c r="C166" s="2"/>
      <c r="D166" s="2"/>
      <c r="E166" s="8"/>
      <c r="F166" s="2"/>
      <c r="G166" s="2"/>
      <c r="H166" s="2"/>
      <c r="I166" s="2"/>
      <c r="J166" s="2"/>
      <c r="K166" s="2"/>
      <c r="L166" s="2"/>
      <c r="N166" s="2"/>
      <c r="O166" s="2"/>
      <c r="P166" s="2"/>
      <c r="Q166" s="2"/>
      <c r="R166" s="2"/>
      <c r="S166" s="2"/>
      <c r="T166" s="2"/>
      <c r="U166" s="2"/>
      <c r="V166" s="2" t="s">
        <v>3715</v>
      </c>
      <c r="Z166" s="2"/>
      <c r="AA166" s="2"/>
    </row>
    <row r="167" spans="1:29" s="60" customFormat="1">
      <c r="A167" s="60" t="s">
        <v>3328</v>
      </c>
      <c r="B167" s="2"/>
      <c r="C167" s="2"/>
      <c r="D167" s="2"/>
      <c r="F167" s="2"/>
      <c r="G167" s="2"/>
      <c r="H167" s="2"/>
      <c r="I167" s="2"/>
      <c r="J167" s="2"/>
      <c r="K167" s="2"/>
      <c r="L167" s="2"/>
      <c r="M167" s="2"/>
      <c r="N167" s="2"/>
      <c r="O167" s="2"/>
      <c r="P167" s="2"/>
      <c r="Q167" s="2"/>
      <c r="R167" s="2"/>
      <c r="S167" s="2"/>
      <c r="T167" s="2"/>
      <c r="U167" s="2"/>
      <c r="V167" s="2"/>
      <c r="W167" s="2"/>
      <c r="X167" s="2"/>
      <c r="Y167" s="2"/>
      <c r="Z167" s="2"/>
      <c r="AA167" s="2"/>
      <c r="AB167" s="2"/>
      <c r="AC167" s="2"/>
    </row>
    <row r="168" spans="1:29" s="60" customFormat="1">
      <c r="A168" s="2" t="s">
        <v>2965</v>
      </c>
      <c r="B168" s="2"/>
      <c r="C168" s="2"/>
      <c r="D168" s="2"/>
      <c r="F168" s="2"/>
      <c r="G168" s="2"/>
      <c r="H168" s="2"/>
      <c r="I168" s="2"/>
      <c r="J168" s="2"/>
      <c r="K168" s="2"/>
      <c r="L168" s="2"/>
      <c r="M168" s="2"/>
      <c r="N168" s="2"/>
      <c r="O168" s="2"/>
      <c r="P168" s="2"/>
      <c r="Q168" s="2"/>
      <c r="R168" s="2"/>
      <c r="S168" s="2"/>
      <c r="T168" s="2"/>
      <c r="U168" s="2"/>
      <c r="V168" s="2"/>
      <c r="W168" s="2"/>
      <c r="X168" s="2"/>
      <c r="Y168" s="2"/>
      <c r="Z168" s="2"/>
      <c r="AA168" s="2"/>
      <c r="AB168" s="2"/>
      <c r="AC168" s="2"/>
    </row>
    <row r="169" spans="1:29" s="60" customFormat="1">
      <c r="A169" s="2" t="s">
        <v>3750</v>
      </c>
      <c r="B169" s="2"/>
      <c r="C169" s="2"/>
      <c r="D169" s="2"/>
      <c r="F169" s="2"/>
      <c r="G169" s="2"/>
      <c r="H169" s="2"/>
      <c r="I169" s="2"/>
      <c r="J169" s="2"/>
      <c r="K169" s="2"/>
      <c r="L169" s="2"/>
      <c r="M169" s="2"/>
      <c r="N169" s="2"/>
      <c r="O169" s="2"/>
      <c r="P169" s="2"/>
      <c r="Q169" s="2"/>
      <c r="R169" s="2"/>
      <c r="S169" s="2"/>
      <c r="T169" s="2"/>
      <c r="U169" s="2"/>
      <c r="V169" s="2"/>
      <c r="W169" s="2"/>
      <c r="X169" s="2"/>
      <c r="Y169" s="2"/>
      <c r="Z169" s="2"/>
      <c r="AA169" s="2"/>
      <c r="AB169" s="2"/>
      <c r="AC169" s="2"/>
    </row>
    <row r="170" spans="1:29" s="60" customFormat="1">
      <c r="A170" s="60">
        <v>92173</v>
      </c>
      <c r="B170" s="60" t="s">
        <v>297</v>
      </c>
      <c r="C170" s="60" t="s">
        <v>209</v>
      </c>
      <c r="D170" s="60" t="s">
        <v>2953</v>
      </c>
      <c r="E170" s="8" t="str">
        <f>HYPERLINK("https://stat100.ameba.jp/tnk47/ratio20/illustrations/card/ill_92173_atorasu03.jpg", "■")</f>
        <v>■</v>
      </c>
      <c r="F170" s="60" t="s">
        <v>2959</v>
      </c>
      <c r="G170" s="2"/>
      <c r="H170" s="79" t="s">
        <v>1087</v>
      </c>
      <c r="I170" s="2" t="s">
        <v>3217</v>
      </c>
      <c r="J170" s="2"/>
      <c r="K170" s="2"/>
      <c r="L170" s="2"/>
      <c r="M170" s="2"/>
      <c r="N170" s="2"/>
      <c r="O170" s="2"/>
      <c r="P170" s="2"/>
      <c r="Q170" s="2"/>
      <c r="R170" s="2"/>
      <c r="S170" s="2"/>
      <c r="T170" s="2"/>
      <c r="U170" s="2"/>
      <c r="V170" s="2"/>
      <c r="W170" s="60">
        <v>22</v>
      </c>
      <c r="X170" s="60">
        <v>108306</v>
      </c>
      <c r="Y170" s="60">
        <v>100698</v>
      </c>
      <c r="Z170" s="60" t="s">
        <v>2947</v>
      </c>
      <c r="AA170" s="60" t="s">
        <v>3083</v>
      </c>
      <c r="AB170" s="60" t="s">
        <v>301</v>
      </c>
      <c r="AC170" s="60" t="s">
        <v>309</v>
      </c>
    </row>
    <row r="171" spans="1:29" s="60" customFormat="1">
      <c r="A171" s="60">
        <v>92183</v>
      </c>
      <c r="B171" s="60" t="s">
        <v>757</v>
      </c>
      <c r="C171" s="60" t="s">
        <v>6</v>
      </c>
      <c r="D171" s="60" t="s">
        <v>2954</v>
      </c>
      <c r="E171" s="8" t="str">
        <f>HYPERLINK("https://stat100.ameba.jp/tnk47/ratio20/illustrations/card/ill_92183_shokorafue03.jpg", "■")</f>
        <v>■</v>
      </c>
      <c r="F171" s="60" t="s">
        <v>2960</v>
      </c>
      <c r="G171" s="2"/>
      <c r="H171" s="2"/>
      <c r="I171" s="2" t="s">
        <v>3217</v>
      </c>
      <c r="J171" s="2"/>
      <c r="K171" s="2"/>
      <c r="L171" s="2"/>
      <c r="M171" s="2"/>
      <c r="N171" s="2"/>
      <c r="O171" s="2"/>
      <c r="P171" s="2"/>
      <c r="Q171" s="2"/>
      <c r="R171" s="2"/>
      <c r="S171" s="2"/>
      <c r="T171" s="2"/>
      <c r="U171" s="2"/>
      <c r="V171" s="2"/>
      <c r="W171" s="60">
        <v>22</v>
      </c>
      <c r="X171" s="60">
        <v>108306</v>
      </c>
      <c r="Y171" s="60">
        <v>100698</v>
      </c>
      <c r="Z171" s="60" t="s">
        <v>2948</v>
      </c>
      <c r="AA171" s="60" t="s">
        <v>3084</v>
      </c>
      <c r="AB171" s="60" t="s">
        <v>301</v>
      </c>
      <c r="AC171" s="60" t="s">
        <v>309</v>
      </c>
    </row>
    <row r="172" spans="1:29" s="60" customFormat="1">
      <c r="A172" s="60">
        <v>92193</v>
      </c>
      <c r="B172" s="60" t="s">
        <v>758</v>
      </c>
      <c r="C172" s="60" t="s">
        <v>67</v>
      </c>
      <c r="D172" s="60" t="s">
        <v>2955</v>
      </c>
      <c r="E172" s="8" t="str">
        <f>HYPERLINK("https://stat100.ameba.jp/tnk47/ratio20/illustrations/card/ill_92193_kerubu03.jpg", "■")</f>
        <v>■</v>
      </c>
      <c r="F172" s="60" t="s">
        <v>2961</v>
      </c>
      <c r="G172" s="2"/>
      <c r="H172" s="73" t="s">
        <v>1087</v>
      </c>
      <c r="I172" s="2" t="s">
        <v>3217</v>
      </c>
      <c r="J172" s="2"/>
      <c r="K172" s="2"/>
      <c r="L172" s="2"/>
      <c r="M172" s="2"/>
      <c r="N172" s="2"/>
      <c r="O172" s="2"/>
      <c r="P172" s="2"/>
      <c r="Q172" s="2"/>
      <c r="R172" s="2"/>
      <c r="S172" s="2"/>
      <c r="T172" s="2"/>
      <c r="U172" s="2"/>
      <c r="V172" s="2"/>
      <c r="W172" s="60">
        <v>22</v>
      </c>
      <c r="X172" s="60">
        <v>108306</v>
      </c>
      <c r="Y172" s="60">
        <v>100698</v>
      </c>
      <c r="Z172" s="60" t="s">
        <v>2949</v>
      </c>
      <c r="AA172" s="60" t="s">
        <v>3085</v>
      </c>
      <c r="AB172" s="60" t="s">
        <v>301</v>
      </c>
      <c r="AC172" s="60" t="s">
        <v>309</v>
      </c>
    </row>
    <row r="173" spans="1:29" s="60" customFormat="1">
      <c r="A173" s="60">
        <v>92203</v>
      </c>
      <c r="B173" s="60" t="s">
        <v>310</v>
      </c>
      <c r="C173" s="60" t="s">
        <v>74</v>
      </c>
      <c r="D173" s="60" t="s">
        <v>2956</v>
      </c>
      <c r="E173" s="8" t="str">
        <f>HYPERLINK("https://stat100.ameba.jp/tnk47/ratio20/illustrations/card/ill_92203_tarazetotoreda03.jpg", "■")</f>
        <v>■</v>
      </c>
      <c r="F173" s="60" t="s">
        <v>2962</v>
      </c>
      <c r="G173" s="2"/>
      <c r="H173" s="2"/>
      <c r="I173" s="2" t="s">
        <v>3217</v>
      </c>
      <c r="J173" s="2"/>
      <c r="K173" s="2"/>
      <c r="L173" s="2"/>
      <c r="M173" s="2"/>
      <c r="N173" s="2"/>
      <c r="O173" s="2"/>
      <c r="P173" s="2"/>
      <c r="Q173" s="2"/>
      <c r="R173" s="2"/>
      <c r="S173" s="2"/>
      <c r="T173" s="2"/>
      <c r="U173" s="2"/>
      <c r="V173" s="2"/>
      <c r="W173" s="60">
        <v>22</v>
      </c>
      <c r="X173" s="60">
        <v>100698</v>
      </c>
      <c r="Y173" s="60">
        <v>108306</v>
      </c>
      <c r="Z173" s="60" t="s">
        <v>2950</v>
      </c>
      <c r="AA173" s="60" t="s">
        <v>3086</v>
      </c>
      <c r="AB173" s="60" t="s">
        <v>301</v>
      </c>
      <c r="AC173" s="60" t="s">
        <v>309</v>
      </c>
    </row>
    <row r="174" spans="1:29" s="60" customFormat="1">
      <c r="A174" s="60">
        <v>92213</v>
      </c>
      <c r="B174" s="60" t="s">
        <v>168</v>
      </c>
      <c r="C174" s="60" t="s">
        <v>44</v>
      </c>
      <c r="D174" s="60" t="s">
        <v>2957</v>
      </c>
      <c r="E174" s="8" t="str">
        <f>HYPERLINK("https://stat100.ameba.jp/tnk47/ratio20/illustrations/card/ill_92213_pushikopompoi03.jpg", "■")</f>
        <v>■</v>
      </c>
      <c r="F174" s="60" t="s">
        <v>2963</v>
      </c>
      <c r="G174" s="2"/>
      <c r="H174" s="2"/>
      <c r="I174" s="2" t="s">
        <v>3218</v>
      </c>
      <c r="J174" s="2"/>
      <c r="K174" s="2"/>
      <c r="L174" s="2"/>
      <c r="M174" s="2"/>
      <c r="N174" s="2"/>
      <c r="O174" s="2"/>
      <c r="P174" s="2"/>
      <c r="Q174" s="2"/>
      <c r="R174" s="2"/>
      <c r="S174" s="2"/>
      <c r="T174" s="2"/>
      <c r="U174" s="2"/>
      <c r="V174" s="2"/>
      <c r="W174" s="60">
        <v>22</v>
      </c>
      <c r="X174" s="60">
        <v>100698</v>
      </c>
      <c r="Y174" s="60">
        <v>108306</v>
      </c>
      <c r="Z174" s="60" t="s">
        <v>2951</v>
      </c>
      <c r="AA174" s="60" t="s">
        <v>3087</v>
      </c>
      <c r="AB174" s="60" t="s">
        <v>301</v>
      </c>
      <c r="AC174" s="60" t="s">
        <v>309</v>
      </c>
    </row>
    <row r="175" spans="1:29" s="60" customFormat="1">
      <c r="A175" s="60">
        <v>92223</v>
      </c>
      <c r="B175" s="60" t="s">
        <v>316</v>
      </c>
      <c r="C175" s="60" t="s">
        <v>119</v>
      </c>
      <c r="D175" s="60" t="s">
        <v>2958</v>
      </c>
      <c r="E175" s="8" t="str">
        <f>HYPERLINK("https://stat100.ameba.jp/tnk47/ratio20/illustrations/card/ill_92223_sanfuraua03.jpg", "■")</f>
        <v>■</v>
      </c>
      <c r="F175" s="60" t="s">
        <v>2964</v>
      </c>
      <c r="G175" s="2"/>
      <c r="H175" s="2"/>
      <c r="I175" s="2" t="s">
        <v>3217</v>
      </c>
      <c r="J175" s="2"/>
      <c r="K175" s="2"/>
      <c r="L175" s="2"/>
      <c r="M175" s="2"/>
      <c r="N175" s="2"/>
      <c r="O175" s="2"/>
      <c r="P175" s="2"/>
      <c r="Q175" s="2"/>
      <c r="R175" s="2"/>
      <c r="S175" s="2"/>
      <c r="T175" s="2"/>
      <c r="U175" s="2"/>
      <c r="V175" s="2"/>
      <c r="W175" s="60">
        <v>22</v>
      </c>
      <c r="X175" s="60">
        <v>100698</v>
      </c>
      <c r="Y175" s="60">
        <v>108306</v>
      </c>
      <c r="Z175" s="60" t="s">
        <v>2952</v>
      </c>
      <c r="AA175" s="60" t="s">
        <v>3088</v>
      </c>
      <c r="AB175" s="60" t="s">
        <v>301</v>
      </c>
      <c r="AC175" s="60" t="s">
        <v>309</v>
      </c>
    </row>
    <row r="176" spans="1:29">
      <c r="A176" s="2"/>
      <c r="B176" s="28"/>
      <c r="C176" s="28"/>
      <c r="D176" s="8"/>
      <c r="E176" s="8"/>
    </row>
    <row r="177" spans="1:29">
      <c r="A177" s="74" t="s">
        <v>3328</v>
      </c>
      <c r="B177" s="2"/>
      <c r="C177" s="28"/>
      <c r="D177" s="8"/>
      <c r="E177" s="8"/>
    </row>
    <row r="178" spans="1:29">
      <c r="A178" s="2" t="s">
        <v>3219</v>
      </c>
      <c r="B178" s="2"/>
      <c r="C178" s="28"/>
      <c r="D178" s="8"/>
      <c r="E178" s="8"/>
      <c r="X178" s="2"/>
      <c r="Y178" s="2"/>
    </row>
    <row r="179" spans="1:29">
      <c r="A179" s="2" t="s">
        <v>3709</v>
      </c>
      <c r="B179" s="2"/>
      <c r="C179" s="28"/>
      <c r="D179" s="8"/>
      <c r="E179" s="8"/>
    </row>
    <row r="180" spans="1:29">
      <c r="A180" s="1">
        <v>94773</v>
      </c>
      <c r="B180" s="74" t="s">
        <v>297</v>
      </c>
      <c r="C180" s="1" t="s">
        <v>123</v>
      </c>
      <c r="D180" s="1" t="s">
        <v>3220</v>
      </c>
      <c r="E180" s="8" t="str">
        <f>HYPERLINK("https://stat100.ameba.jp/tnk47/ratio20/illustrations/card/ill_94773_baiorinisutosuru03.jpg", "■")</f>
        <v>■</v>
      </c>
      <c r="F180" s="1" t="s">
        <v>3228</v>
      </c>
      <c r="I180" s="2" t="s">
        <v>3384</v>
      </c>
      <c r="W180" s="74">
        <v>22</v>
      </c>
      <c r="X180" s="74">
        <v>100698</v>
      </c>
      <c r="Y180" s="74">
        <v>108306</v>
      </c>
      <c r="Z180" s="1" t="s">
        <v>3227</v>
      </c>
      <c r="AA180" s="1" t="s">
        <v>3226</v>
      </c>
      <c r="AB180" s="81" t="s">
        <v>301</v>
      </c>
      <c r="AC180" s="81" t="s">
        <v>309</v>
      </c>
    </row>
    <row r="181" spans="1:29">
      <c r="A181" s="74">
        <v>94783</v>
      </c>
      <c r="B181" s="74" t="s">
        <v>757</v>
      </c>
      <c r="C181" s="74" t="s">
        <v>169</v>
      </c>
      <c r="D181" s="1" t="s">
        <v>3221</v>
      </c>
      <c r="E181" s="8" t="str">
        <f>HYPERLINK("https://stat100.ameba.jp/tnk47/ratio20/illustrations/card/ill_94783_deusuekusumashina03.jpg", "■")</f>
        <v>■</v>
      </c>
      <c r="F181" s="74" t="s">
        <v>3229</v>
      </c>
      <c r="I181" s="1" t="s">
        <v>3383</v>
      </c>
      <c r="W181" s="74">
        <v>22</v>
      </c>
      <c r="X181" s="74">
        <v>100698</v>
      </c>
      <c r="Y181" s="74">
        <v>108306</v>
      </c>
      <c r="Z181" s="74" t="s">
        <v>3234</v>
      </c>
      <c r="AA181" s="74" t="s">
        <v>3239</v>
      </c>
      <c r="AB181" s="81" t="s">
        <v>301</v>
      </c>
      <c r="AC181" s="81" t="s">
        <v>309</v>
      </c>
    </row>
    <row r="182" spans="1:29">
      <c r="A182" s="74">
        <v>94793</v>
      </c>
      <c r="B182" s="74" t="s">
        <v>758</v>
      </c>
      <c r="C182" s="74" t="s">
        <v>59</v>
      </c>
      <c r="D182" s="1" t="s">
        <v>3222</v>
      </c>
      <c r="E182" s="8" t="str">
        <f>HYPERLINK("https://stat100.ameba.jp/tnk47/ratio20/illustrations/card/ill_94793_eiyukohoseiashuramu03.jpg", "■")</f>
        <v>■</v>
      </c>
      <c r="F182" s="74" t="s">
        <v>3230</v>
      </c>
      <c r="H182" s="75" t="s">
        <v>974</v>
      </c>
      <c r="I182" s="1" t="s">
        <v>3383</v>
      </c>
      <c r="O182" s="81" t="s">
        <v>974</v>
      </c>
      <c r="W182" s="74">
        <v>22</v>
      </c>
      <c r="X182" s="74">
        <v>108306</v>
      </c>
      <c r="Y182" s="74">
        <v>100698</v>
      </c>
      <c r="Z182" s="74" t="s">
        <v>3235</v>
      </c>
      <c r="AA182" s="74" t="s">
        <v>3240</v>
      </c>
      <c r="AB182" s="81" t="s">
        <v>301</v>
      </c>
      <c r="AC182" s="81" t="s">
        <v>309</v>
      </c>
    </row>
    <row r="183" spans="1:29">
      <c r="A183" s="74">
        <v>94803</v>
      </c>
      <c r="B183" s="74" t="s">
        <v>310</v>
      </c>
      <c r="C183" s="74" t="s">
        <v>209</v>
      </c>
      <c r="D183" s="1" t="s">
        <v>3223</v>
      </c>
      <c r="E183" s="8" t="str">
        <f>HYPERLINK("https://stat100.ameba.jp/tnk47/ratio20/illustrations/card/ill_94803_pideiria03.jpg", "■")</f>
        <v>■</v>
      </c>
      <c r="F183" s="74" t="s">
        <v>3231</v>
      </c>
      <c r="I183" s="1" t="s">
        <v>3383</v>
      </c>
      <c r="W183" s="74">
        <v>22</v>
      </c>
      <c r="X183" s="74">
        <v>108306</v>
      </c>
      <c r="Y183" s="74">
        <v>100698</v>
      </c>
      <c r="Z183" s="74" t="s">
        <v>3236</v>
      </c>
      <c r="AA183" s="74" t="s">
        <v>3241</v>
      </c>
      <c r="AB183" s="81" t="s">
        <v>301</v>
      </c>
      <c r="AC183" s="81" t="s">
        <v>309</v>
      </c>
    </row>
    <row r="184" spans="1:29">
      <c r="A184" s="74">
        <v>94813</v>
      </c>
      <c r="B184" s="74" t="s">
        <v>168</v>
      </c>
      <c r="C184" s="74" t="s">
        <v>6</v>
      </c>
      <c r="D184" s="1" t="s">
        <v>3224</v>
      </c>
      <c r="E184" s="8" t="str">
        <f>HYPERLINK("https://stat100.ameba.jp/tnk47/ratio20/illustrations/card/ill_94813_satogashinomajoshukuru03.jpg", "■")</f>
        <v>■</v>
      </c>
      <c r="F184" s="74" t="s">
        <v>3232</v>
      </c>
      <c r="I184" s="75" t="s">
        <v>3385</v>
      </c>
      <c r="W184" s="74">
        <v>22</v>
      </c>
      <c r="X184" s="74">
        <v>108306</v>
      </c>
      <c r="Y184" s="74">
        <v>100698</v>
      </c>
      <c r="Z184" s="74" t="s">
        <v>3237</v>
      </c>
      <c r="AA184" s="74" t="s">
        <v>3242</v>
      </c>
      <c r="AB184" s="81" t="s">
        <v>301</v>
      </c>
      <c r="AC184" s="81" t="s">
        <v>309</v>
      </c>
    </row>
    <row r="185" spans="1:29">
      <c r="A185" s="74">
        <v>94823</v>
      </c>
      <c r="B185" s="74" t="s">
        <v>316</v>
      </c>
      <c r="C185" s="74" t="s">
        <v>74</v>
      </c>
      <c r="D185" s="1" t="s">
        <v>3225</v>
      </c>
      <c r="E185" s="8" t="str">
        <f>HYPERLINK("https://stat100.ameba.jp/tnk47/ratio20/illustrations/card/ill_94823_sandorizado03.jpg", "■")</f>
        <v>■</v>
      </c>
      <c r="F185" s="74" t="s">
        <v>3233</v>
      </c>
      <c r="I185" s="1" t="s">
        <v>3383</v>
      </c>
      <c r="W185" s="74">
        <v>22</v>
      </c>
      <c r="X185" s="74">
        <v>100698</v>
      </c>
      <c r="Y185" s="74">
        <v>108306</v>
      </c>
      <c r="Z185" s="74" t="s">
        <v>3238</v>
      </c>
      <c r="AA185" s="74" t="s">
        <v>3243</v>
      </c>
      <c r="AB185" s="81" t="s">
        <v>301</v>
      </c>
      <c r="AC185" s="81" t="s">
        <v>309</v>
      </c>
    </row>
    <row r="187" spans="1:29">
      <c r="A187" s="78" t="s">
        <v>3327</v>
      </c>
    </row>
    <row r="188" spans="1:29">
      <c r="A188" s="1" t="s">
        <v>3326</v>
      </c>
    </row>
    <row r="189" spans="1:29">
      <c r="A189" s="1" t="s">
        <v>3759</v>
      </c>
    </row>
    <row r="190" spans="1:29">
      <c r="A190" s="78">
        <v>97493</v>
      </c>
      <c r="B190" s="78" t="s">
        <v>297</v>
      </c>
      <c r="C190" s="78" t="s">
        <v>44</v>
      </c>
      <c r="D190" s="78" t="s">
        <v>3314</v>
      </c>
      <c r="E190" s="8" t="str">
        <f>HYPERLINK("https://stat100.ameba.jp/tnk47/ratio20/illustrations/card/ill_97493_saiseinoshinkansopudeto03.jpg", "■")</f>
        <v>■</v>
      </c>
      <c r="F190" s="78" t="s">
        <v>3315</v>
      </c>
      <c r="I190" s="81" t="s">
        <v>3384</v>
      </c>
      <c r="N190" s="81" t="s">
        <v>3420</v>
      </c>
      <c r="W190" s="78">
        <v>22</v>
      </c>
      <c r="X190" s="78">
        <v>100698</v>
      </c>
      <c r="Y190" s="78">
        <v>108306</v>
      </c>
      <c r="Z190" s="78" t="s">
        <v>3312</v>
      </c>
      <c r="AA190" s="78" t="s">
        <v>3313</v>
      </c>
      <c r="AB190" s="81" t="s">
        <v>301</v>
      </c>
      <c r="AC190" s="81" t="s">
        <v>309</v>
      </c>
    </row>
    <row r="191" spans="1:29">
      <c r="A191" s="78">
        <v>97503</v>
      </c>
      <c r="B191" s="78" t="s">
        <v>757</v>
      </c>
      <c r="C191" s="78" t="s">
        <v>59</v>
      </c>
      <c r="D191" s="78" t="s">
        <v>3316</v>
      </c>
      <c r="E191" s="8" t="str">
        <f>HYPERLINK("https://stat100.ameba.jp/tnk47/ratio20/illustrations/card/ill_97503_kokeinodein03.jpg", "■")</f>
        <v>■</v>
      </c>
      <c r="F191" s="78" t="s">
        <v>3317</v>
      </c>
      <c r="I191" s="92" t="s">
        <v>3384</v>
      </c>
      <c r="N191" s="86" t="s">
        <v>3420</v>
      </c>
      <c r="W191" s="78">
        <v>22</v>
      </c>
      <c r="X191" s="78">
        <v>108306</v>
      </c>
      <c r="Y191" s="78">
        <v>100698</v>
      </c>
      <c r="Z191" s="78" t="s">
        <v>3302</v>
      </c>
      <c r="AA191" s="78" t="s">
        <v>3303</v>
      </c>
      <c r="AB191" s="81" t="s">
        <v>301</v>
      </c>
      <c r="AC191" s="81" t="s">
        <v>309</v>
      </c>
    </row>
    <row r="192" spans="1:29">
      <c r="A192" s="78">
        <v>97513</v>
      </c>
      <c r="B192" s="78" t="s">
        <v>758</v>
      </c>
      <c r="C192" s="78" t="s">
        <v>67</v>
      </c>
      <c r="D192" s="78" t="s">
        <v>3318</v>
      </c>
      <c r="E192" s="8" t="str">
        <f>HYPERLINK("https://stat100.ameba.jp/tnk47/ratio20/illustrations/card/ill_97513_yusuteiteia03.jpg", "■")</f>
        <v>■</v>
      </c>
      <c r="F192" s="78" t="s">
        <v>3319</v>
      </c>
      <c r="I192" s="92" t="s">
        <v>3383</v>
      </c>
      <c r="N192" s="86" t="s">
        <v>3423</v>
      </c>
      <c r="W192" s="78">
        <v>22</v>
      </c>
      <c r="X192" s="78">
        <v>100698</v>
      </c>
      <c r="Y192" s="78">
        <v>108306</v>
      </c>
      <c r="Z192" s="78" t="s">
        <v>3304</v>
      </c>
      <c r="AA192" s="78" t="s">
        <v>3305</v>
      </c>
      <c r="AB192" s="81" t="s">
        <v>301</v>
      </c>
      <c r="AC192" s="81" t="s">
        <v>309</v>
      </c>
    </row>
    <row r="193" spans="1:29">
      <c r="A193" s="78">
        <v>97523</v>
      </c>
      <c r="B193" s="78" t="s">
        <v>310</v>
      </c>
      <c r="C193" s="78" t="s">
        <v>119</v>
      </c>
      <c r="D193" s="78" t="s">
        <v>3320</v>
      </c>
      <c r="E193" s="8" t="str">
        <f>HYPERLINK("https://stat100.ameba.jp/tnk47/ratio20/illustrations/card/ill_97523_karyua03.jpg", "■")</f>
        <v>■</v>
      </c>
      <c r="F193" s="78" t="s">
        <v>3321</v>
      </c>
      <c r="I193" s="92" t="s">
        <v>3383</v>
      </c>
      <c r="N193" s="86" t="s">
        <v>3423</v>
      </c>
      <c r="W193" s="78">
        <v>22</v>
      </c>
      <c r="X193" s="78">
        <v>100698</v>
      </c>
      <c r="Y193" s="78">
        <v>108306</v>
      </c>
      <c r="Z193" s="78" t="s">
        <v>3306</v>
      </c>
      <c r="AA193" s="78" t="s">
        <v>3307</v>
      </c>
      <c r="AB193" s="81" t="s">
        <v>301</v>
      </c>
      <c r="AC193" s="81" t="s">
        <v>309</v>
      </c>
    </row>
    <row r="194" spans="1:29">
      <c r="A194" s="78">
        <v>97533</v>
      </c>
      <c r="B194" s="78" t="s">
        <v>168</v>
      </c>
      <c r="C194" s="78" t="s">
        <v>169</v>
      </c>
      <c r="D194" s="78" t="s">
        <v>3322</v>
      </c>
      <c r="E194" s="8" t="str">
        <f>HYPERLINK("https://stat100.ameba.jp/tnk47/ratio20/illustrations/card/ill_97533_pariakaka03.jpg", "■")</f>
        <v>■</v>
      </c>
      <c r="F194" s="78" t="s">
        <v>3323</v>
      </c>
      <c r="I194" s="92" t="s">
        <v>3383</v>
      </c>
      <c r="N194" s="86" t="s">
        <v>3423</v>
      </c>
      <c r="V194" s="1" t="s">
        <v>3508</v>
      </c>
      <c r="W194" s="78">
        <v>22</v>
      </c>
      <c r="X194" s="78">
        <v>100698</v>
      </c>
      <c r="Y194" s="78">
        <v>108306</v>
      </c>
      <c r="Z194" s="78" t="s">
        <v>3308</v>
      </c>
      <c r="AA194" s="78" t="s">
        <v>3309</v>
      </c>
      <c r="AB194" s="81" t="s">
        <v>301</v>
      </c>
      <c r="AC194" s="81" t="s">
        <v>309</v>
      </c>
    </row>
    <row r="195" spans="1:29">
      <c r="A195" s="78">
        <v>97543</v>
      </c>
      <c r="B195" s="78" t="s">
        <v>316</v>
      </c>
      <c r="C195" s="78" t="s">
        <v>123</v>
      </c>
      <c r="D195" s="78" t="s">
        <v>3324</v>
      </c>
      <c r="E195" s="8" t="str">
        <f>HYPERLINK("https://stat100.ameba.jp/tnk47/ratio20/illustrations/card/ill_97543_kuroimorinohekuse03.jpg", "■")</f>
        <v>■</v>
      </c>
      <c r="F195" s="78" t="s">
        <v>3325</v>
      </c>
      <c r="I195" s="92" t="s">
        <v>3383</v>
      </c>
      <c r="N195" s="86" t="s">
        <v>3423</v>
      </c>
      <c r="W195" s="78">
        <v>22</v>
      </c>
      <c r="X195" s="78">
        <v>108306</v>
      </c>
      <c r="Y195" s="78">
        <v>100698</v>
      </c>
      <c r="Z195" s="78" t="s">
        <v>3310</v>
      </c>
      <c r="AA195" s="78" t="s">
        <v>3311</v>
      </c>
      <c r="AB195" s="81" t="s">
        <v>301</v>
      </c>
      <c r="AC195" s="81" t="s">
        <v>309</v>
      </c>
    </row>
    <row r="197" spans="1:29">
      <c r="A197" s="81" t="s">
        <v>3327</v>
      </c>
    </row>
    <row r="198" spans="1:29">
      <c r="A198" s="81" t="s">
        <v>3386</v>
      </c>
    </row>
    <row r="199" spans="1:29">
      <c r="A199" s="81" t="s">
        <v>3752</v>
      </c>
    </row>
    <row r="200" spans="1:29">
      <c r="A200" s="81">
        <v>99513</v>
      </c>
      <c r="B200" s="81" t="s">
        <v>297</v>
      </c>
      <c r="C200" s="81" t="s">
        <v>119</v>
      </c>
      <c r="D200" s="81" t="s">
        <v>3387</v>
      </c>
      <c r="E200" s="8" t="str">
        <f>HYPERLINK("https://stat100.ameba.jp/tnk47/ratio20/illustrations/card/ill_99513_aberute03.jpg", "■")</f>
        <v>■</v>
      </c>
      <c r="F200" s="81" t="s">
        <v>3393</v>
      </c>
      <c r="I200" s="97" t="s">
        <v>3590</v>
      </c>
      <c r="K200" s="97" t="s">
        <v>3592</v>
      </c>
      <c r="N200" s="97" t="s">
        <v>3588</v>
      </c>
      <c r="W200" s="81">
        <v>22</v>
      </c>
      <c r="X200" s="81">
        <v>100698</v>
      </c>
      <c r="Y200" s="81">
        <v>108306</v>
      </c>
      <c r="Z200" s="81" t="s">
        <v>3409</v>
      </c>
      <c r="AA200" s="81" t="s">
        <v>3410</v>
      </c>
      <c r="AB200" s="81" t="s">
        <v>3411</v>
      </c>
      <c r="AC200" s="81" t="s">
        <v>302</v>
      </c>
    </row>
    <row r="201" spans="1:29">
      <c r="A201" s="81">
        <v>99523</v>
      </c>
      <c r="B201" s="81" t="s">
        <v>757</v>
      </c>
      <c r="C201" s="81" t="s">
        <v>6</v>
      </c>
      <c r="D201" s="81" t="s">
        <v>3388</v>
      </c>
      <c r="E201" s="8" t="str">
        <f>HYPERLINK("https://stat100.ameba.jp/tnk47/ratio20/illustrations/card/ill_99523_arukumasshu03.jpg", "■")</f>
        <v>■</v>
      </c>
      <c r="F201" s="81" t="s">
        <v>3394</v>
      </c>
      <c r="I201" s="97" t="s">
        <v>3590</v>
      </c>
      <c r="K201" s="97" t="s">
        <v>3592</v>
      </c>
      <c r="N201" s="97" t="s">
        <v>3588</v>
      </c>
      <c r="W201" s="81">
        <v>22</v>
      </c>
      <c r="X201" s="81">
        <v>100698</v>
      </c>
      <c r="Y201" s="81">
        <v>108306</v>
      </c>
      <c r="Z201" s="81" t="s">
        <v>3399</v>
      </c>
      <c r="AA201" s="81" t="s">
        <v>3400</v>
      </c>
      <c r="AB201" s="81" t="s">
        <v>3411</v>
      </c>
      <c r="AC201" s="81" t="s">
        <v>302</v>
      </c>
    </row>
    <row r="202" spans="1:29">
      <c r="A202" s="81">
        <v>99533</v>
      </c>
      <c r="B202" s="81" t="s">
        <v>758</v>
      </c>
      <c r="C202" s="81" t="s">
        <v>74</v>
      </c>
      <c r="D202" s="81" t="s">
        <v>3389</v>
      </c>
      <c r="E202" s="8" t="str">
        <f>HYPERLINK("https://stat100.ameba.jp/tnk47/ratio20/illustrations/card/ill_99533_zahhaku03.jpg", "■")</f>
        <v>■</v>
      </c>
      <c r="F202" s="81" t="s">
        <v>3395</v>
      </c>
      <c r="I202" s="97" t="s">
        <v>3589</v>
      </c>
      <c r="K202" s="97" t="s">
        <v>3609</v>
      </c>
      <c r="N202" s="97" t="s">
        <v>3587</v>
      </c>
      <c r="W202" s="81">
        <v>22</v>
      </c>
      <c r="X202" s="81">
        <v>108306</v>
      </c>
      <c r="Y202" s="81">
        <v>100698</v>
      </c>
      <c r="Z202" s="81" t="s">
        <v>3401</v>
      </c>
      <c r="AA202" s="81" t="s">
        <v>3402</v>
      </c>
      <c r="AB202" s="81" t="s">
        <v>3411</v>
      </c>
      <c r="AC202" s="81" t="s">
        <v>302</v>
      </c>
    </row>
    <row r="203" spans="1:29">
      <c r="A203" s="81">
        <v>99543</v>
      </c>
      <c r="B203" s="81" t="s">
        <v>310</v>
      </c>
      <c r="C203" s="81" t="s">
        <v>67</v>
      </c>
      <c r="D203" s="81" t="s">
        <v>3390</v>
      </c>
      <c r="E203" s="8" t="str">
        <f>HYPERLINK("https://stat100.ameba.jp/tnk47/ratio20/illustrations/card/ill_99543_bega03.jpg", "■")</f>
        <v>■</v>
      </c>
      <c r="F203" s="81" t="s">
        <v>3396</v>
      </c>
      <c r="I203" s="97" t="s">
        <v>3589</v>
      </c>
      <c r="K203" s="97" t="s">
        <v>3591</v>
      </c>
      <c r="N203" s="97" t="s">
        <v>3587</v>
      </c>
      <c r="W203" s="81">
        <v>22</v>
      </c>
      <c r="X203" s="81">
        <v>108306</v>
      </c>
      <c r="Y203" s="81">
        <v>100698</v>
      </c>
      <c r="Z203" s="81" t="s">
        <v>3403</v>
      </c>
      <c r="AA203" s="81" t="s">
        <v>3404</v>
      </c>
      <c r="AB203" s="81" t="s">
        <v>3411</v>
      </c>
      <c r="AC203" s="81" t="s">
        <v>302</v>
      </c>
    </row>
    <row r="204" spans="1:29">
      <c r="A204" s="81">
        <v>99553</v>
      </c>
      <c r="B204" s="81" t="s">
        <v>313</v>
      </c>
      <c r="C204" s="81" t="s">
        <v>209</v>
      </c>
      <c r="D204" s="81" t="s">
        <v>3391</v>
      </c>
      <c r="E204" s="8" t="str">
        <f>HYPERLINK("https://stat100.ameba.jp/tnk47/ratio20/illustrations/card/ill_99553_shupigeru03.jpg", "■")</f>
        <v>■</v>
      </c>
      <c r="F204" s="81" t="s">
        <v>3397</v>
      </c>
      <c r="I204" s="97" t="s">
        <v>3589</v>
      </c>
      <c r="K204" s="97" t="s">
        <v>3591</v>
      </c>
      <c r="N204" s="97" t="s">
        <v>3587</v>
      </c>
      <c r="W204" s="81">
        <v>22</v>
      </c>
      <c r="X204" s="81">
        <v>108306</v>
      </c>
      <c r="Y204" s="81">
        <v>100698</v>
      </c>
      <c r="Z204" s="81" t="s">
        <v>3405</v>
      </c>
      <c r="AA204" s="81" t="s">
        <v>3406</v>
      </c>
      <c r="AB204" s="81" t="s">
        <v>3411</v>
      </c>
      <c r="AC204" s="81" t="s">
        <v>302</v>
      </c>
    </row>
    <row r="205" spans="1:29">
      <c r="A205" s="81">
        <v>99563</v>
      </c>
      <c r="B205" s="81" t="s">
        <v>316</v>
      </c>
      <c r="C205" s="81" t="s">
        <v>59</v>
      </c>
      <c r="D205" s="81" t="s">
        <v>3392</v>
      </c>
      <c r="E205" s="8" t="str">
        <f>HYPERLINK("https://stat100.ameba.jp/tnk47/ratio20/illustrations/card/ill_99563_senkinokishiryunnu03.jpg", "■")</f>
        <v>■</v>
      </c>
      <c r="F205" s="81" t="s">
        <v>3398</v>
      </c>
      <c r="I205" s="97" t="s">
        <v>3589</v>
      </c>
      <c r="K205" s="97" t="s">
        <v>3591</v>
      </c>
      <c r="N205" s="97" t="s">
        <v>3587</v>
      </c>
      <c r="W205" s="81">
        <v>22</v>
      </c>
      <c r="X205" s="81">
        <v>100698</v>
      </c>
      <c r="Y205" s="81">
        <v>108306</v>
      </c>
      <c r="Z205" s="81" t="s">
        <v>3407</v>
      </c>
      <c r="AA205" s="81" t="s">
        <v>3408</v>
      </c>
      <c r="AB205" s="81" t="s">
        <v>3411</v>
      </c>
      <c r="AC205" s="81" t="s">
        <v>302</v>
      </c>
    </row>
    <row r="207" spans="1:29">
      <c r="A207" s="88" t="s">
        <v>3327</v>
      </c>
    </row>
    <row r="208" spans="1:29">
      <c r="A208" s="88" t="s">
        <v>3452</v>
      </c>
    </row>
    <row r="209" spans="1:29">
      <c r="A209" s="88" t="s">
        <v>3760</v>
      </c>
    </row>
    <row r="210" spans="1:29">
      <c r="A210" s="88">
        <v>200463</v>
      </c>
      <c r="B210" s="88" t="s">
        <v>1266</v>
      </c>
      <c r="C210" s="88" t="s">
        <v>59</v>
      </c>
      <c r="D210" s="88" t="s">
        <v>3471</v>
      </c>
      <c r="E210" s="8" t="str">
        <f>HYPERLINK("https://stat100.ameba.jp/tnk47/ratio20/illustrations/card/ill_200463_bakusanoshieiuddo03.jpg", "■")</f>
        <v>■</v>
      </c>
      <c r="F210" s="88" t="s">
        <v>3465</v>
      </c>
      <c r="K210" s="97" t="s">
        <v>3594</v>
      </c>
      <c r="Q210" s="97" t="s">
        <v>3588</v>
      </c>
      <c r="W210" s="88">
        <v>22</v>
      </c>
      <c r="X210" s="88">
        <v>108306</v>
      </c>
      <c r="Y210" s="88">
        <v>100698</v>
      </c>
      <c r="Z210" s="88" t="s">
        <v>3459</v>
      </c>
      <c r="AA210" s="88" t="s">
        <v>3453</v>
      </c>
      <c r="AB210" s="88" t="s">
        <v>3411</v>
      </c>
      <c r="AC210" s="88" t="s">
        <v>302</v>
      </c>
    </row>
    <row r="211" spans="1:29">
      <c r="A211" s="88">
        <v>200473</v>
      </c>
      <c r="B211" s="88" t="s">
        <v>303</v>
      </c>
      <c r="C211" s="88" t="s">
        <v>123</v>
      </c>
      <c r="D211" s="88" t="s">
        <v>3472</v>
      </c>
      <c r="E211" s="8" t="str">
        <f>HYPERLINK("https://stat100.ameba.jp/tnk47/ratio20/illustrations/card/ill_200473_hyuperion03.jpg", "■")</f>
        <v>■</v>
      </c>
      <c r="F211" s="88" t="s">
        <v>3466</v>
      </c>
      <c r="K211" s="97" t="s">
        <v>3594</v>
      </c>
      <c r="Q211" s="97" t="s">
        <v>3588</v>
      </c>
      <c r="W211" s="88">
        <v>22</v>
      </c>
      <c r="X211" s="88">
        <v>108306</v>
      </c>
      <c r="Y211" s="88">
        <v>100698</v>
      </c>
      <c r="Z211" s="88" t="s">
        <v>3460</v>
      </c>
      <c r="AA211" s="88" t="s">
        <v>3454</v>
      </c>
      <c r="AB211" s="88" t="s">
        <v>3411</v>
      </c>
      <c r="AC211" s="88" t="s">
        <v>302</v>
      </c>
    </row>
    <row r="212" spans="1:29">
      <c r="A212" s="88">
        <v>200483</v>
      </c>
      <c r="B212" s="88" t="s">
        <v>2450</v>
      </c>
      <c r="C212" s="88" t="s">
        <v>119</v>
      </c>
      <c r="D212" s="88" t="s">
        <v>3473</v>
      </c>
      <c r="E212" s="8" t="str">
        <f>HYPERLINK("https://stat100.ameba.jp/tnk47/ratio20/illustrations/card/ill_200483_hemmennoaimei03.jpg", "■")</f>
        <v>■</v>
      </c>
      <c r="F212" s="88" t="s">
        <v>3467</v>
      </c>
      <c r="K212" s="97" t="s">
        <v>3593</v>
      </c>
      <c r="Q212" s="97" t="s">
        <v>3587</v>
      </c>
      <c r="W212" s="88">
        <v>22</v>
      </c>
      <c r="X212" s="88">
        <v>100698</v>
      </c>
      <c r="Y212" s="88">
        <v>108306</v>
      </c>
      <c r="Z212" s="88" t="s">
        <v>3461</v>
      </c>
      <c r="AA212" s="88" t="s">
        <v>3455</v>
      </c>
      <c r="AB212" s="88" t="s">
        <v>3411</v>
      </c>
      <c r="AC212" s="88" t="s">
        <v>302</v>
      </c>
    </row>
    <row r="213" spans="1:29">
      <c r="A213" s="88">
        <v>200493</v>
      </c>
      <c r="B213" s="88" t="s">
        <v>379</v>
      </c>
      <c r="C213" s="88" t="s">
        <v>44</v>
      </c>
      <c r="D213" s="88" t="s">
        <v>3474</v>
      </c>
      <c r="E213" s="8" t="str">
        <f>HYPERLINK("https://stat100.ameba.jp/tnk47/ratio20/illustrations/card/ill_200493_futeruna03.jpg", "■")</f>
        <v>■</v>
      </c>
      <c r="F213" s="88" t="s">
        <v>3468</v>
      </c>
      <c r="K213" s="97" t="s">
        <v>3593</v>
      </c>
      <c r="Q213" s="97" t="s">
        <v>3587</v>
      </c>
      <c r="W213" s="88">
        <v>22</v>
      </c>
      <c r="X213" s="88">
        <v>108306</v>
      </c>
      <c r="Y213" s="88">
        <v>100698</v>
      </c>
      <c r="Z213" s="88" t="s">
        <v>3462</v>
      </c>
      <c r="AA213" s="88" t="s">
        <v>3456</v>
      </c>
      <c r="AB213" s="88" t="s">
        <v>3411</v>
      </c>
      <c r="AC213" s="88" t="s">
        <v>302</v>
      </c>
    </row>
    <row r="214" spans="1:29">
      <c r="A214" s="88">
        <v>200503</v>
      </c>
      <c r="B214" s="88" t="s">
        <v>168</v>
      </c>
      <c r="C214" s="88" t="s">
        <v>74</v>
      </c>
      <c r="D214" s="88" t="s">
        <v>3475</v>
      </c>
      <c r="E214" s="8" t="str">
        <f>HYPERLINK("https://stat100.ameba.jp/tnk47/ratio20/illustrations/card/ill_200503_katoburepasu03.jpg", "■")</f>
        <v>■</v>
      </c>
      <c r="F214" s="88" t="s">
        <v>3469</v>
      </c>
      <c r="H214" s="96" t="s">
        <v>974</v>
      </c>
      <c r="K214" s="97" t="s">
        <v>3593</v>
      </c>
      <c r="O214" s="97" t="s">
        <v>974</v>
      </c>
      <c r="P214" s="97" t="s">
        <v>974</v>
      </c>
      <c r="Q214" s="97" t="s">
        <v>3587</v>
      </c>
      <c r="W214" s="88">
        <v>22</v>
      </c>
      <c r="X214" s="88">
        <v>100698</v>
      </c>
      <c r="Y214" s="88">
        <v>108306</v>
      </c>
      <c r="Z214" s="88" t="s">
        <v>3463</v>
      </c>
      <c r="AA214" s="88" t="s">
        <v>3457</v>
      </c>
      <c r="AB214" s="88" t="s">
        <v>3411</v>
      </c>
      <c r="AC214" s="88" t="s">
        <v>302</v>
      </c>
    </row>
    <row r="215" spans="1:29">
      <c r="A215" s="88">
        <v>200513</v>
      </c>
      <c r="B215" s="88" t="s">
        <v>1161</v>
      </c>
      <c r="C215" s="88" t="s">
        <v>6</v>
      </c>
      <c r="D215" s="88" t="s">
        <v>3476</v>
      </c>
      <c r="E215" s="8" t="str">
        <f>HYPERLINK("https://stat100.ameba.jp/tnk47/ratio20/illustrations/card/ill_200513_jidarakunadeishiramu03.jpg", "■")</f>
        <v>■</v>
      </c>
      <c r="F215" s="88" t="s">
        <v>3470</v>
      </c>
      <c r="K215" s="97" t="s">
        <v>3593</v>
      </c>
      <c r="Q215" s="97" t="s">
        <v>3587</v>
      </c>
      <c r="W215" s="88">
        <v>22</v>
      </c>
      <c r="X215" s="88">
        <v>100698</v>
      </c>
      <c r="Y215" s="88">
        <v>108306</v>
      </c>
      <c r="Z215" s="88" t="s">
        <v>3464</v>
      </c>
      <c r="AA215" s="88" t="s">
        <v>3458</v>
      </c>
      <c r="AB215" s="88" t="s">
        <v>3411</v>
      </c>
      <c r="AC215" s="88" t="s">
        <v>302</v>
      </c>
    </row>
    <row r="216" spans="1:29">
      <c r="A216" s="97"/>
      <c r="B216" s="97"/>
      <c r="C216" s="97"/>
      <c r="D216" s="97"/>
      <c r="E216" s="97"/>
      <c r="F216" s="97"/>
      <c r="G216" s="97"/>
      <c r="H216" s="97"/>
      <c r="I216" s="97"/>
      <c r="J216" s="97"/>
      <c r="K216" s="97"/>
      <c r="L216" s="97"/>
      <c r="M216" s="97"/>
      <c r="N216" s="97"/>
      <c r="O216" s="97"/>
      <c r="P216" s="97"/>
      <c r="Q216" s="97"/>
      <c r="R216" s="97"/>
      <c r="S216" s="97"/>
      <c r="T216" s="97"/>
      <c r="U216" s="97"/>
      <c r="V216" s="97"/>
      <c r="W216" s="97"/>
      <c r="X216" s="97"/>
      <c r="Y216" s="97"/>
      <c r="Z216" s="97"/>
      <c r="AA216" s="97"/>
    </row>
    <row r="217" spans="1:29">
      <c r="A217" s="97" t="s">
        <v>3327</v>
      </c>
      <c r="B217" s="97"/>
      <c r="C217" s="97"/>
      <c r="D217" s="97"/>
      <c r="E217" s="97"/>
      <c r="F217" s="97"/>
      <c r="G217" s="97"/>
      <c r="H217" s="97"/>
      <c r="I217" s="97"/>
      <c r="J217" s="97"/>
      <c r="K217" s="97"/>
      <c r="L217" s="97"/>
      <c r="M217" s="97"/>
      <c r="N217" s="97"/>
      <c r="O217" s="97"/>
      <c r="P217" s="97"/>
      <c r="Q217" s="97"/>
      <c r="R217" s="97"/>
      <c r="S217" s="97"/>
      <c r="T217" s="97"/>
      <c r="U217" s="97"/>
      <c r="V217" s="97"/>
      <c r="W217" s="97"/>
      <c r="X217" s="97"/>
      <c r="Y217" s="97"/>
      <c r="Z217" s="97"/>
      <c r="AA217" s="97"/>
    </row>
    <row r="218" spans="1:29">
      <c r="A218" s="97" t="s">
        <v>3528</v>
      </c>
      <c r="B218" s="97"/>
      <c r="C218" s="97"/>
      <c r="D218" s="97"/>
      <c r="E218" s="97"/>
      <c r="F218" s="97"/>
      <c r="G218" s="97"/>
      <c r="H218" s="97"/>
      <c r="I218" s="97"/>
      <c r="J218" s="97"/>
      <c r="K218" s="97"/>
      <c r="L218" s="97"/>
      <c r="M218" s="97"/>
      <c r="N218" s="97"/>
      <c r="O218" s="97"/>
      <c r="P218" s="97"/>
      <c r="Q218" s="97"/>
      <c r="R218" s="97"/>
      <c r="S218" s="97"/>
      <c r="T218" s="97"/>
      <c r="U218" s="97"/>
      <c r="V218" s="97"/>
      <c r="W218" s="97"/>
      <c r="X218" s="97"/>
      <c r="Y218" s="97"/>
      <c r="Z218" s="97"/>
      <c r="AA218" s="97"/>
    </row>
    <row r="219" spans="1:29">
      <c r="A219" s="97" t="s">
        <v>3710</v>
      </c>
      <c r="B219" s="97"/>
      <c r="C219" s="97"/>
      <c r="D219" s="97"/>
      <c r="E219" s="97"/>
      <c r="F219" s="97"/>
      <c r="G219" s="97"/>
      <c r="H219" s="97"/>
      <c r="I219" s="97"/>
      <c r="J219" s="97"/>
      <c r="K219" s="97"/>
      <c r="L219" s="97"/>
      <c r="M219" s="97"/>
      <c r="N219" s="97"/>
      <c r="O219" s="97"/>
      <c r="P219" s="97"/>
      <c r="Q219" s="97"/>
      <c r="R219" s="97"/>
      <c r="S219" s="97"/>
      <c r="T219" s="97"/>
      <c r="U219" s="97"/>
      <c r="V219" s="97"/>
      <c r="W219" s="97"/>
      <c r="X219" s="97"/>
      <c r="Y219" s="97"/>
      <c r="Z219" s="97"/>
      <c r="AA219" s="97"/>
    </row>
    <row r="220" spans="1:29">
      <c r="A220" s="97">
        <v>203483</v>
      </c>
      <c r="B220" s="97" t="s">
        <v>1266</v>
      </c>
      <c r="C220" s="97" t="s">
        <v>169</v>
      </c>
      <c r="D220" s="97" t="s">
        <v>3548</v>
      </c>
      <c r="E220" s="8" t="str">
        <f>HYPERLINK("https://stat100.ameba.jp/tnk47/ratio20/illustrations/card/ill_203483_seifuranchesuka03.jpg", "■")</f>
        <v>■</v>
      </c>
      <c r="F220" s="97" t="s">
        <v>3547</v>
      </c>
      <c r="G220" s="97"/>
      <c r="H220" s="97"/>
      <c r="I220" s="97"/>
      <c r="J220" s="97"/>
      <c r="K220" s="97" t="s">
        <v>3706</v>
      </c>
      <c r="L220" s="97"/>
      <c r="M220" s="97"/>
      <c r="N220" s="97"/>
      <c r="O220" s="97"/>
      <c r="P220" s="97"/>
      <c r="Q220" s="97" t="s">
        <v>3588</v>
      </c>
      <c r="R220" s="97" t="s">
        <v>3588</v>
      </c>
      <c r="S220" s="97"/>
      <c r="T220" s="97"/>
      <c r="U220" s="97"/>
      <c r="V220" s="97"/>
      <c r="W220" s="97">
        <v>22</v>
      </c>
      <c r="X220" s="97">
        <v>108306</v>
      </c>
      <c r="Y220" s="97">
        <v>100698</v>
      </c>
      <c r="Z220" s="97" t="s">
        <v>3546</v>
      </c>
      <c r="AA220" s="97" t="s">
        <v>3545</v>
      </c>
      <c r="AB220" s="97" t="s">
        <v>3411</v>
      </c>
      <c r="AC220" s="97" t="s">
        <v>302</v>
      </c>
    </row>
    <row r="221" spans="1:29">
      <c r="A221" s="97">
        <v>203493</v>
      </c>
      <c r="B221" s="97" t="s">
        <v>303</v>
      </c>
      <c r="C221" s="97" t="s">
        <v>209</v>
      </c>
      <c r="D221" s="97" t="s">
        <v>3568</v>
      </c>
      <c r="E221" s="8" t="str">
        <f>HYPERLINK("https://stat100.ameba.jp/tnk47/ratio20/illustrations/card/ill_203493_mandaratto03.jpg", "■")</f>
        <v>■</v>
      </c>
      <c r="F221" s="97" t="s">
        <v>3567</v>
      </c>
      <c r="G221" s="97"/>
      <c r="H221" s="97"/>
      <c r="I221" s="97"/>
      <c r="J221" s="97"/>
      <c r="K221" s="97" t="s">
        <v>3706</v>
      </c>
      <c r="L221" s="97"/>
      <c r="M221" s="97"/>
      <c r="N221" s="97"/>
      <c r="O221" s="97"/>
      <c r="P221" s="97"/>
      <c r="Q221" s="97" t="s">
        <v>3588</v>
      </c>
      <c r="R221" s="97" t="s">
        <v>3588</v>
      </c>
      <c r="S221" s="97"/>
      <c r="T221" s="97"/>
      <c r="U221" s="97"/>
      <c r="V221" s="97"/>
      <c r="W221" s="97">
        <v>22</v>
      </c>
      <c r="X221" s="97">
        <v>100698</v>
      </c>
      <c r="Y221" s="97">
        <v>108306</v>
      </c>
      <c r="Z221" s="97" t="s">
        <v>3550</v>
      </c>
      <c r="AA221" s="97" t="s">
        <v>3549</v>
      </c>
      <c r="AB221" s="97" t="s">
        <v>3411</v>
      </c>
      <c r="AC221" s="97" t="s">
        <v>302</v>
      </c>
    </row>
    <row r="222" spans="1:29">
      <c r="A222" s="97">
        <v>203503</v>
      </c>
      <c r="B222" s="97" t="s">
        <v>2450</v>
      </c>
      <c r="C222" s="97" t="s">
        <v>123</v>
      </c>
      <c r="D222" s="97" t="s">
        <v>3565</v>
      </c>
      <c r="E222" s="8" t="str">
        <f>HYPERLINK("https://stat100.ameba.jp/tnk47/ratio20/illustrations/card/ill_203503_shikagikoshinosan03.jpg", "■")</f>
        <v>■</v>
      </c>
      <c r="F222" s="97" t="s">
        <v>3566</v>
      </c>
      <c r="G222" s="97"/>
      <c r="H222" s="97"/>
      <c r="I222" s="97"/>
      <c r="J222" s="97"/>
      <c r="K222" s="97" t="s">
        <v>3705</v>
      </c>
      <c r="L222" s="97"/>
      <c r="M222" s="97"/>
      <c r="N222" s="97"/>
      <c r="O222" s="97"/>
      <c r="P222" s="97"/>
      <c r="Q222" s="97" t="s">
        <v>3587</v>
      </c>
      <c r="R222" s="97" t="s">
        <v>3587</v>
      </c>
      <c r="S222" s="97"/>
      <c r="T222" s="97"/>
      <c r="U222" s="97"/>
      <c r="V222" s="97"/>
      <c r="W222" s="97">
        <v>22</v>
      </c>
      <c r="X222" s="97">
        <v>100698</v>
      </c>
      <c r="Y222" s="97">
        <v>108306</v>
      </c>
      <c r="Z222" s="97" t="s">
        <v>3552</v>
      </c>
      <c r="AA222" s="97" t="s">
        <v>3551</v>
      </c>
      <c r="AB222" s="97" t="s">
        <v>3411</v>
      </c>
      <c r="AC222" s="97" t="s">
        <v>302</v>
      </c>
    </row>
    <row r="223" spans="1:29">
      <c r="A223" s="97">
        <v>203513</v>
      </c>
      <c r="B223" s="97" t="s">
        <v>379</v>
      </c>
      <c r="C223" s="97" t="s">
        <v>169</v>
      </c>
      <c r="D223" s="97" t="s">
        <v>3564</v>
      </c>
      <c r="E223" s="8" t="str">
        <f>HYPERLINK("https://stat100.ameba.jp/tnk47/ratio20/illustrations/card/ill_203513_sekkoyafurueru03.jpg", "■")</f>
        <v>■</v>
      </c>
      <c r="F223" s="97" t="s">
        <v>3563</v>
      </c>
      <c r="G223" s="97"/>
      <c r="H223" s="97"/>
      <c r="I223" s="97"/>
      <c r="J223" s="97"/>
      <c r="K223" s="97" t="s">
        <v>3705</v>
      </c>
      <c r="L223" s="97"/>
      <c r="M223" s="97"/>
      <c r="N223" s="97"/>
      <c r="O223" s="97"/>
      <c r="P223" s="97"/>
      <c r="Q223" s="97" t="s">
        <v>3587</v>
      </c>
      <c r="R223" s="97" t="s">
        <v>3587</v>
      </c>
      <c r="S223" s="97"/>
      <c r="T223" s="97"/>
      <c r="U223" s="97"/>
      <c r="V223" s="97"/>
      <c r="W223" s="97">
        <v>22</v>
      </c>
      <c r="X223" s="97">
        <v>108306</v>
      </c>
      <c r="Y223" s="97">
        <v>100698</v>
      </c>
      <c r="Z223" s="97" t="s">
        <v>3554</v>
      </c>
      <c r="AA223" s="97" t="s">
        <v>3553</v>
      </c>
      <c r="AB223" s="97" t="s">
        <v>3411</v>
      </c>
      <c r="AC223" s="97" t="s">
        <v>302</v>
      </c>
    </row>
    <row r="224" spans="1:29">
      <c r="A224" s="97">
        <v>203523</v>
      </c>
      <c r="B224" s="97" t="s">
        <v>168</v>
      </c>
      <c r="C224" s="97" t="s">
        <v>119</v>
      </c>
      <c r="D224" s="97" t="s">
        <v>3562</v>
      </c>
      <c r="E224" s="8" t="str">
        <f>HYPERLINK("https://stat100.ameba.jp/tnk47/ratio20/illustrations/card/ill_203523_furaingumonki03.jpg", "■")</f>
        <v>■</v>
      </c>
      <c r="F224" s="97" t="s">
        <v>3560</v>
      </c>
      <c r="G224" s="97"/>
      <c r="H224" s="97"/>
      <c r="I224" s="97"/>
      <c r="J224" s="97"/>
      <c r="K224" s="97" t="s">
        <v>3705</v>
      </c>
      <c r="L224" s="97"/>
      <c r="M224" s="97"/>
      <c r="N224" s="97"/>
      <c r="O224" s="97"/>
      <c r="P224" s="97"/>
      <c r="Q224" s="97" t="s">
        <v>3587</v>
      </c>
      <c r="R224" s="97" t="s">
        <v>3587</v>
      </c>
      <c r="S224" s="97"/>
      <c r="T224" s="97"/>
      <c r="U224" s="97"/>
      <c r="V224" s="97"/>
      <c r="W224" s="97">
        <v>22</v>
      </c>
      <c r="X224" s="97">
        <v>108306</v>
      </c>
      <c r="Y224" s="97">
        <v>100698</v>
      </c>
      <c r="Z224" s="97" t="s">
        <v>3556</v>
      </c>
      <c r="AA224" s="97" t="s">
        <v>3555</v>
      </c>
      <c r="AB224" s="97" t="s">
        <v>3411</v>
      </c>
      <c r="AC224" s="97" t="s">
        <v>302</v>
      </c>
    </row>
    <row r="225" spans="1:29">
      <c r="A225" s="97">
        <v>203533</v>
      </c>
      <c r="B225" s="97" t="s">
        <v>1161</v>
      </c>
      <c r="C225" s="97" t="s">
        <v>44</v>
      </c>
      <c r="D225" s="97" t="s">
        <v>3561</v>
      </c>
      <c r="E225" s="8" t="str">
        <f>HYPERLINK("https://stat100.ameba.jp/tnk47/ratio20/illustrations/card/ill_203533_ashiyunokyameron03.jpg", "■")</f>
        <v>■</v>
      </c>
      <c r="F225" s="97" t="s">
        <v>3559</v>
      </c>
      <c r="G225" s="97"/>
      <c r="H225" s="97"/>
      <c r="I225" s="97"/>
      <c r="J225" s="97"/>
      <c r="K225" s="97" t="s">
        <v>3705</v>
      </c>
      <c r="L225" s="97"/>
      <c r="M225" s="97"/>
      <c r="N225" s="97"/>
      <c r="O225" s="97"/>
      <c r="P225" s="97"/>
      <c r="Q225" s="97" t="s">
        <v>3587</v>
      </c>
      <c r="R225" s="97" t="s">
        <v>3587</v>
      </c>
      <c r="S225" s="97"/>
      <c r="T225" s="97"/>
      <c r="U225" s="97"/>
      <c r="V225" s="97"/>
      <c r="W225" s="97">
        <v>22</v>
      </c>
      <c r="X225" s="97">
        <v>100698</v>
      </c>
      <c r="Y225" s="97">
        <v>108306</v>
      </c>
      <c r="Z225" s="97" t="s">
        <v>3558</v>
      </c>
      <c r="AA225" s="97" t="s">
        <v>3557</v>
      </c>
      <c r="AB225" s="97" t="s">
        <v>3411</v>
      </c>
      <c r="AC225" s="97" t="s">
        <v>302</v>
      </c>
    </row>
    <row r="227" spans="1:29">
      <c r="A227" s="97" t="s">
        <v>3327</v>
      </c>
      <c r="B227" s="97"/>
      <c r="C227" s="97"/>
      <c r="D227" s="97"/>
      <c r="E227" s="97"/>
      <c r="F227" s="97"/>
      <c r="G227" s="97"/>
      <c r="H227" s="97"/>
      <c r="I227" s="97"/>
      <c r="J227" s="97"/>
      <c r="K227" s="97"/>
      <c r="L227" s="97"/>
      <c r="M227" s="97"/>
      <c r="N227" s="97"/>
      <c r="O227" s="97"/>
      <c r="P227" s="97"/>
      <c r="Q227" s="97"/>
      <c r="R227" s="97"/>
      <c r="S227" s="97"/>
      <c r="T227" s="97"/>
      <c r="U227" s="97"/>
      <c r="V227" s="97"/>
      <c r="W227" s="97"/>
      <c r="X227" s="97"/>
      <c r="Y227" s="97"/>
      <c r="Z227" s="97"/>
      <c r="AA227" s="97"/>
      <c r="AB227" s="97"/>
      <c r="AC227" s="97"/>
    </row>
    <row r="228" spans="1:29">
      <c r="A228" s="97" t="s">
        <v>3676</v>
      </c>
      <c r="B228" s="97"/>
      <c r="C228" s="97"/>
      <c r="D228" s="97"/>
      <c r="E228" s="97"/>
      <c r="F228" s="97"/>
      <c r="G228" s="97"/>
      <c r="H228" s="97"/>
      <c r="I228" s="97"/>
      <c r="J228" s="97"/>
      <c r="K228" s="97"/>
      <c r="L228" s="97"/>
      <c r="M228" s="97"/>
      <c r="N228" s="97"/>
      <c r="O228" s="97"/>
      <c r="P228" s="97"/>
      <c r="Q228" s="97"/>
      <c r="R228" s="97"/>
      <c r="S228" s="97"/>
      <c r="T228" s="97"/>
      <c r="U228" s="97"/>
      <c r="V228" s="97"/>
      <c r="W228" s="97"/>
      <c r="X228" s="97"/>
      <c r="Y228" s="97"/>
      <c r="Z228" s="97"/>
      <c r="AA228" s="97"/>
      <c r="AB228" s="97"/>
      <c r="AC228" s="97"/>
    </row>
    <row r="229" spans="1:29">
      <c r="A229" s="97" t="s">
        <v>3707</v>
      </c>
      <c r="B229" s="97"/>
      <c r="C229" s="97"/>
      <c r="D229" s="97"/>
      <c r="E229" s="97"/>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row>
    <row r="230" spans="1:29">
      <c r="A230" s="97">
        <v>205593</v>
      </c>
      <c r="B230" s="97" t="s">
        <v>1266</v>
      </c>
      <c r="C230" s="97" t="s">
        <v>6</v>
      </c>
      <c r="D230" s="97" t="s">
        <v>3679</v>
      </c>
      <c r="E230" s="8" t="str">
        <f>HYPERLINK("https://stat100.ameba.jp/tnk47/ratio20/illustrations/card/ill_205593_suitokon03.jpg", "■")</f>
        <v>■</v>
      </c>
      <c r="F230" s="97" t="s">
        <v>3680</v>
      </c>
      <c r="G230" s="97"/>
      <c r="H230" s="97"/>
      <c r="I230" s="97"/>
      <c r="J230" s="97"/>
      <c r="K230" s="97" t="s">
        <v>3749</v>
      </c>
      <c r="L230" s="97"/>
      <c r="M230" s="97"/>
      <c r="N230" s="97"/>
      <c r="O230" s="97"/>
      <c r="P230" s="97"/>
      <c r="Q230" s="97" t="s">
        <v>3588</v>
      </c>
      <c r="R230" s="97" t="s">
        <v>3588</v>
      </c>
      <c r="S230" s="97"/>
      <c r="T230" s="97"/>
      <c r="U230" s="97"/>
      <c r="V230" s="97"/>
      <c r="W230" s="97">
        <v>22</v>
      </c>
      <c r="X230" s="97">
        <v>108306</v>
      </c>
      <c r="Y230" s="97">
        <v>100698</v>
      </c>
      <c r="Z230" s="97" t="s">
        <v>3681</v>
      </c>
      <c r="AA230" s="97" t="s">
        <v>3682</v>
      </c>
      <c r="AB230" s="97" t="s">
        <v>3411</v>
      </c>
      <c r="AC230" s="97" t="s">
        <v>302</v>
      </c>
    </row>
    <row r="231" spans="1:29">
      <c r="A231" s="97">
        <v>205603</v>
      </c>
      <c r="B231" s="97" t="s">
        <v>303</v>
      </c>
      <c r="C231" s="97" t="s">
        <v>119</v>
      </c>
      <c r="D231" s="97" t="s">
        <v>3683</v>
      </c>
      <c r="E231" s="8" t="str">
        <f>HYPERLINK("https://stat100.ameba.jp/tnk47/ratio20/illustrations/card/ill_205603_mimoza03.jpg", "■")</f>
        <v>■</v>
      </c>
      <c r="F231" s="97" t="s">
        <v>3686</v>
      </c>
      <c r="G231" s="97"/>
      <c r="H231" s="97"/>
      <c r="I231" s="97"/>
      <c r="J231" s="97"/>
      <c r="K231" s="97" t="s">
        <v>3749</v>
      </c>
      <c r="L231" s="97"/>
      <c r="M231" s="97"/>
      <c r="N231" s="97"/>
      <c r="O231" s="97"/>
      <c r="P231" s="97"/>
      <c r="Q231" s="97" t="s">
        <v>3588</v>
      </c>
      <c r="R231" s="97" t="s">
        <v>3588</v>
      </c>
      <c r="S231" s="97"/>
      <c r="T231" s="97"/>
      <c r="U231" s="97"/>
      <c r="V231" s="97"/>
      <c r="W231" s="97">
        <v>22</v>
      </c>
      <c r="X231" s="97">
        <v>100698</v>
      </c>
      <c r="Y231" s="97">
        <v>108306</v>
      </c>
      <c r="Z231" s="97" t="s">
        <v>3684</v>
      </c>
      <c r="AA231" s="97" t="s">
        <v>3685</v>
      </c>
      <c r="AB231" s="97" t="s">
        <v>3411</v>
      </c>
      <c r="AC231" s="97" t="s">
        <v>302</v>
      </c>
    </row>
    <row r="232" spans="1:29">
      <c r="A232" s="97">
        <v>205613</v>
      </c>
      <c r="B232" s="97" t="s">
        <v>2450</v>
      </c>
      <c r="C232" s="97" t="s">
        <v>44</v>
      </c>
      <c r="D232" s="97" t="s">
        <v>3687</v>
      </c>
      <c r="E232" s="8" t="str">
        <f>HYPERLINK("https://stat100.ameba.jp/tnk47/ratio20/illustrations/card/ill_205613_kobitonoririi03.jpg", "■")</f>
        <v>■</v>
      </c>
      <c r="F232" s="97" t="s">
        <v>3688</v>
      </c>
      <c r="G232" s="97"/>
      <c r="H232" s="97"/>
      <c r="I232" s="97"/>
      <c r="J232" s="97"/>
      <c r="K232" s="97" t="s">
        <v>3748</v>
      </c>
      <c r="L232" s="97"/>
      <c r="M232" s="97"/>
      <c r="N232" s="97"/>
      <c r="O232" s="97"/>
      <c r="P232" s="97"/>
      <c r="Q232" s="97" t="s">
        <v>3587</v>
      </c>
      <c r="R232" s="97" t="s">
        <v>3587</v>
      </c>
      <c r="S232" s="97"/>
      <c r="T232" s="97"/>
      <c r="U232" s="97"/>
      <c r="V232" s="97"/>
      <c r="W232" s="97">
        <v>22</v>
      </c>
      <c r="X232" s="97">
        <v>108306</v>
      </c>
      <c r="Y232" s="97">
        <v>100698</v>
      </c>
      <c r="Z232" s="97" t="s">
        <v>3689</v>
      </c>
      <c r="AA232" s="97" t="s">
        <v>3690</v>
      </c>
      <c r="AB232" s="97" t="s">
        <v>3411</v>
      </c>
      <c r="AC232" s="97" t="s">
        <v>302</v>
      </c>
    </row>
    <row r="233" spans="1:29">
      <c r="A233" s="97">
        <v>205623</v>
      </c>
      <c r="B233" s="97" t="s">
        <v>379</v>
      </c>
      <c r="C233" s="97" t="s">
        <v>59</v>
      </c>
      <c r="D233" s="97" t="s">
        <v>3691</v>
      </c>
      <c r="E233" s="8" t="str">
        <f>HYPERLINK("https://stat100.ameba.jp/tnk47/ratio20/illustrations/card/ill_205623_yoshinochayanoyae03.jpg", "■")</f>
        <v>■</v>
      </c>
      <c r="F233" s="97" t="s">
        <v>3692</v>
      </c>
      <c r="G233" s="97"/>
      <c r="H233" s="97"/>
      <c r="I233" s="97"/>
      <c r="J233" s="97"/>
      <c r="K233" s="97" t="s">
        <v>3748</v>
      </c>
      <c r="L233" s="97"/>
      <c r="M233" s="97"/>
      <c r="N233" s="97"/>
      <c r="O233" s="97"/>
      <c r="P233" s="97"/>
      <c r="Q233" s="97" t="s">
        <v>3587</v>
      </c>
      <c r="R233" s="97" t="s">
        <v>3587</v>
      </c>
      <c r="S233" s="97"/>
      <c r="T233" s="97"/>
      <c r="U233" s="97"/>
      <c r="V233" s="97"/>
      <c r="W233" s="97">
        <v>22</v>
      </c>
      <c r="X233" s="97">
        <v>100698</v>
      </c>
      <c r="Y233" s="97">
        <v>108306</v>
      </c>
      <c r="Z233" s="97" t="s">
        <v>3693</v>
      </c>
      <c r="AA233" s="97" t="s">
        <v>3694</v>
      </c>
      <c r="AB233" s="97" t="s">
        <v>3411</v>
      </c>
      <c r="AC233" s="97" t="s">
        <v>302</v>
      </c>
    </row>
    <row r="234" spans="1:29">
      <c r="A234" s="97">
        <v>205633</v>
      </c>
      <c r="B234" s="97" t="s">
        <v>168</v>
      </c>
      <c r="C234" s="97" t="s">
        <v>123</v>
      </c>
      <c r="D234" s="97" t="s">
        <v>3695</v>
      </c>
      <c r="E234" s="8" t="str">
        <f>HYPERLINK("https://stat100.ameba.jp/tnk47/ratio20/illustrations/card/ill_205633_mugennoaria03.jpg", "■")</f>
        <v>■</v>
      </c>
      <c r="F234" s="97" t="s">
        <v>3696</v>
      </c>
      <c r="G234" s="97"/>
      <c r="H234" s="97"/>
      <c r="I234" s="97"/>
      <c r="J234" s="97"/>
      <c r="K234" s="97" t="s">
        <v>3748</v>
      </c>
      <c r="L234" s="97"/>
      <c r="M234" s="97"/>
      <c r="N234" s="97"/>
      <c r="O234" s="97"/>
      <c r="P234" s="97"/>
      <c r="Q234" s="97" t="s">
        <v>3587</v>
      </c>
      <c r="R234" s="97" t="s">
        <v>3587</v>
      </c>
      <c r="S234" s="97"/>
      <c r="T234" s="97"/>
      <c r="U234" s="97"/>
      <c r="V234" s="97"/>
      <c r="W234" s="97">
        <v>22</v>
      </c>
      <c r="X234" s="97">
        <v>108306</v>
      </c>
      <c r="Y234" s="97">
        <v>100698</v>
      </c>
      <c r="Z234" s="97" t="s">
        <v>3697</v>
      </c>
      <c r="AA234" s="97" t="s">
        <v>3698</v>
      </c>
      <c r="AB234" s="97" t="s">
        <v>3411</v>
      </c>
      <c r="AC234" s="97" t="s">
        <v>302</v>
      </c>
    </row>
    <row r="235" spans="1:29">
      <c r="A235" s="97">
        <v>205643</v>
      </c>
      <c r="B235" s="97" t="s">
        <v>1161</v>
      </c>
      <c r="C235" s="97" t="s">
        <v>67</v>
      </c>
      <c r="D235" s="97" t="s">
        <v>3702</v>
      </c>
      <c r="E235" s="8" t="str">
        <f>HYPERLINK("https://stat100.ameba.jp/tnk47/ratio20/illustrations/card/ill_205643_penemu03.jpg", "■")</f>
        <v>■</v>
      </c>
      <c r="F235" s="97" t="s">
        <v>3701</v>
      </c>
      <c r="G235" s="97"/>
      <c r="H235" s="97"/>
      <c r="I235" s="97"/>
      <c r="J235" s="97"/>
      <c r="K235" s="97" t="s">
        <v>3748</v>
      </c>
      <c r="L235" s="97"/>
      <c r="M235" s="97"/>
      <c r="N235" s="97"/>
      <c r="O235" s="97"/>
      <c r="P235" s="97"/>
      <c r="Q235" s="97" t="s">
        <v>3587</v>
      </c>
      <c r="R235" s="97" t="s">
        <v>3587</v>
      </c>
      <c r="S235" s="97"/>
      <c r="T235" s="97"/>
      <c r="U235" s="97"/>
      <c r="V235" s="97"/>
      <c r="W235" s="97">
        <v>22</v>
      </c>
      <c r="X235" s="97">
        <v>108306</v>
      </c>
      <c r="Y235" s="97">
        <v>100698</v>
      </c>
      <c r="Z235" s="97" t="s">
        <v>3700</v>
      </c>
      <c r="AA235" s="97" t="s">
        <v>3699</v>
      </c>
      <c r="AB235" s="97" t="s">
        <v>3411</v>
      </c>
      <c r="AC235" s="97" t="s">
        <v>302</v>
      </c>
    </row>
  </sheetData>
  <phoneticPr fontId="3"/>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6CC02A-A7D6-4957-B0CF-7A15F3492A6C}">
  <dimension ref="A1:Q62"/>
  <sheetViews>
    <sheetView zoomScale="55" zoomScaleNormal="55" workbookViewId="0">
      <pane ySplit="1" topLeftCell="A2" activePane="bottomLeft" state="frozen"/>
      <selection pane="bottomLeft"/>
    </sheetView>
  </sheetViews>
  <sheetFormatPr defaultColWidth="8.9140625" defaultRowHeight="18"/>
  <cols>
    <col min="1" max="1" width="6.33203125" style="1" customWidth="1"/>
    <col min="2" max="2" width="10.5" style="1" customWidth="1"/>
    <col min="3" max="3" width="5.6640625" style="1" customWidth="1"/>
    <col min="4" max="4" width="25.83203125" style="1" customWidth="1"/>
    <col min="5" max="5" width="3.9140625" style="20" customWidth="1"/>
    <col min="6" max="6" width="29.08203125" style="1" hidden="1" customWidth="1"/>
    <col min="7" max="10" width="4.9140625" style="1" hidden="1" customWidth="1"/>
    <col min="11" max="12" width="20.75" style="1" hidden="1" customWidth="1"/>
    <col min="13" max="13" width="4.9140625" style="1" customWidth="1"/>
    <col min="14" max="15" width="7.25" style="1" customWidth="1"/>
    <col min="16" max="16" width="12.4140625" style="1" hidden="1" customWidth="1"/>
    <col min="17" max="17" width="65.9140625" style="1" customWidth="1"/>
    <col min="18" max="16384" width="8.9140625" style="1"/>
  </cols>
  <sheetData>
    <row r="1" spans="1:17">
      <c r="A1" s="13" t="s">
        <v>583</v>
      </c>
      <c r="B1" s="13" t="s">
        <v>0</v>
      </c>
      <c r="C1" s="13" t="s">
        <v>1</v>
      </c>
      <c r="D1" s="13" t="s">
        <v>2</v>
      </c>
      <c r="E1" s="12" t="s">
        <v>2126</v>
      </c>
      <c r="F1" s="13" t="s">
        <v>637</v>
      </c>
      <c r="G1" s="13">
        <v>15</v>
      </c>
      <c r="H1" s="13">
        <v>16</v>
      </c>
      <c r="I1" s="13">
        <v>17</v>
      </c>
      <c r="J1" s="13">
        <v>18</v>
      </c>
      <c r="K1" s="13" t="s">
        <v>1122</v>
      </c>
      <c r="L1" s="13" t="s">
        <v>1040</v>
      </c>
      <c r="M1" s="12" t="s">
        <v>114</v>
      </c>
      <c r="N1" s="12" t="s">
        <v>657</v>
      </c>
      <c r="O1" s="12" t="s">
        <v>658</v>
      </c>
      <c r="P1" s="12" t="s">
        <v>4</v>
      </c>
      <c r="Q1" s="12" t="s">
        <v>2803</v>
      </c>
    </row>
    <row r="2" spans="1:17">
      <c r="A2" s="2"/>
      <c r="B2" s="2"/>
      <c r="C2" s="28"/>
      <c r="K2" s="17"/>
      <c r="L2" s="17"/>
      <c r="M2" s="2"/>
      <c r="N2" s="2"/>
      <c r="O2" s="2"/>
    </row>
    <row r="3" spans="1:17">
      <c r="A3" s="28">
        <v>74383</v>
      </c>
      <c r="B3" s="28" t="s">
        <v>148</v>
      </c>
      <c r="C3" s="28" t="s">
        <v>67</v>
      </c>
      <c r="D3" s="22" t="s">
        <v>2244</v>
      </c>
      <c r="E3" s="8" t="str">
        <f>HYPERLINK("https://stat100.ameba.jp/tnk47/ratio20/illustrations/card/ill_74383_furumidoshiun03.jpg", "■")</f>
        <v>■</v>
      </c>
      <c r="F3" s="1" t="s">
        <v>1123</v>
      </c>
      <c r="M3" s="1" t="s">
        <v>802</v>
      </c>
      <c r="N3" s="1" t="s">
        <v>802</v>
      </c>
      <c r="O3" s="1" t="s">
        <v>802</v>
      </c>
      <c r="P3" s="1" t="s">
        <v>1124</v>
      </c>
      <c r="Q3" s="18" t="s">
        <v>1193</v>
      </c>
    </row>
    <row r="4" spans="1:17">
      <c r="A4" s="28">
        <v>76933</v>
      </c>
      <c r="B4" s="28" t="s">
        <v>148</v>
      </c>
      <c r="C4" s="28" t="s">
        <v>74</v>
      </c>
      <c r="D4" s="22" t="s">
        <v>2156</v>
      </c>
      <c r="E4" s="8" t="str">
        <f>HYPERLINK("https://stat100.ameba.jp/tnk47/ratio20/illustrations/card/ill_76933_sakakibararui03.jpg", "■")</f>
        <v>■</v>
      </c>
      <c r="F4" s="1" t="s">
        <v>1125</v>
      </c>
      <c r="L4" s="1" t="s">
        <v>1126</v>
      </c>
      <c r="M4" s="1">
        <v>22</v>
      </c>
      <c r="N4" s="1">
        <v>84772</v>
      </c>
      <c r="O4" s="1">
        <v>84772</v>
      </c>
      <c r="P4" s="1" t="s">
        <v>1127</v>
      </c>
      <c r="Q4" s="1" t="s">
        <v>1706</v>
      </c>
    </row>
    <row r="5" spans="1:17">
      <c r="A5" s="28">
        <v>73573</v>
      </c>
      <c r="B5" s="28" t="s">
        <v>757</v>
      </c>
      <c r="C5" s="28" t="s">
        <v>169</v>
      </c>
      <c r="D5" s="22" t="s">
        <v>2245</v>
      </c>
      <c r="E5" s="8" t="str">
        <f>HYPERLINK("https://stat100.ameba.jp/tnk47/ratio20/illustrations/card/ill_73573_enjojikeito03.jpg", "■")</f>
        <v>■</v>
      </c>
      <c r="F5" s="1" t="s">
        <v>1130</v>
      </c>
      <c r="G5" s="1" t="s">
        <v>1047</v>
      </c>
      <c r="K5" s="1" t="s">
        <v>1131</v>
      </c>
      <c r="L5" s="1" t="s">
        <v>1132</v>
      </c>
      <c r="M5" s="1">
        <v>22</v>
      </c>
      <c r="N5" s="1">
        <v>76152</v>
      </c>
      <c r="O5" s="1">
        <v>81888</v>
      </c>
      <c r="P5" s="1" t="s">
        <v>1133</v>
      </c>
      <c r="Q5" s="1" t="s">
        <v>1134</v>
      </c>
    </row>
    <row r="6" spans="1:17">
      <c r="A6" s="28">
        <v>76853</v>
      </c>
      <c r="B6" s="28" t="s">
        <v>757</v>
      </c>
      <c r="C6" s="28" t="s">
        <v>59</v>
      </c>
      <c r="D6" s="22" t="s">
        <v>2246</v>
      </c>
      <c r="E6" s="8" t="str">
        <f>HYPERLINK("https://stat100.ameba.jp/tnk47/ratio20/illustrations/card/ill_76853_kugutsumari03.jpg", "■")</f>
        <v>■</v>
      </c>
      <c r="F6" s="1" t="s">
        <v>1128</v>
      </c>
      <c r="M6" s="1">
        <v>22</v>
      </c>
      <c r="N6" s="1">
        <v>135666</v>
      </c>
      <c r="O6" s="1">
        <v>126142</v>
      </c>
      <c r="P6" s="1" t="s">
        <v>1129</v>
      </c>
      <c r="Q6" s="1" t="s">
        <v>606</v>
      </c>
    </row>
    <row r="7" spans="1:17">
      <c r="A7" s="28">
        <v>77723</v>
      </c>
      <c r="B7" s="28" t="s">
        <v>757</v>
      </c>
      <c r="C7" s="28" t="s">
        <v>67</v>
      </c>
      <c r="D7" s="22" t="s">
        <v>2247</v>
      </c>
      <c r="E7" s="8" t="str">
        <f>HYPERLINK("https://stat100.ameba.jp/tnk47/ratio20/illustrations/card/ill_77723_yami03.jpg", "■")</f>
        <v>■</v>
      </c>
      <c r="F7" s="1" t="s">
        <v>1135</v>
      </c>
      <c r="I7" s="1" t="s">
        <v>1136</v>
      </c>
      <c r="M7" s="1">
        <v>22</v>
      </c>
      <c r="N7" s="1">
        <v>84560</v>
      </c>
      <c r="O7" s="1">
        <v>90932</v>
      </c>
      <c r="P7" s="1" t="s">
        <v>1137</v>
      </c>
      <c r="Q7" s="1" t="s">
        <v>1987</v>
      </c>
    </row>
    <row r="8" spans="1:17">
      <c r="A8" s="6">
        <v>86023</v>
      </c>
      <c r="B8" s="6" t="s">
        <v>303</v>
      </c>
      <c r="C8" s="6" t="s">
        <v>17</v>
      </c>
      <c r="D8" s="22" t="s">
        <v>2248</v>
      </c>
      <c r="E8" s="8" t="str">
        <f>HYPERLINK("https://stat100.ameba.jp/tnk47/ratio20/illustrations/card/ill_86023_takatsukasakisaki03.jpg", "■")</f>
        <v>■</v>
      </c>
      <c r="F8" s="6" t="s">
        <v>1260</v>
      </c>
      <c r="G8" s="2"/>
      <c r="H8" s="2"/>
      <c r="I8" s="2"/>
      <c r="J8" s="2"/>
      <c r="K8" s="17"/>
      <c r="L8" s="17"/>
      <c r="M8" s="1">
        <v>22</v>
      </c>
      <c r="N8" s="1">
        <v>106100</v>
      </c>
      <c r="O8" s="1">
        <v>59700</v>
      </c>
      <c r="P8" s="6" t="s">
        <v>1263</v>
      </c>
      <c r="Q8" s="6" t="s">
        <v>1988</v>
      </c>
    </row>
    <row r="9" spans="1:17">
      <c r="A9" s="28">
        <v>73593</v>
      </c>
      <c r="B9" s="28" t="s">
        <v>758</v>
      </c>
      <c r="C9" s="28" t="s">
        <v>17</v>
      </c>
      <c r="D9" s="22" t="s">
        <v>2249</v>
      </c>
      <c r="E9" s="8" t="str">
        <f>HYPERLINK("https://stat100.ameba.jp/tnk47/ratio20/illustrations/card/ill_73593_shingaekasuka03.jpg", "■")</f>
        <v>■</v>
      </c>
      <c r="F9" s="1" t="s">
        <v>1138</v>
      </c>
      <c r="G9" s="1" t="s">
        <v>1047</v>
      </c>
      <c r="J9" s="1" t="s">
        <v>1139</v>
      </c>
      <c r="L9" s="1" t="s">
        <v>1126</v>
      </c>
      <c r="M9" s="1">
        <v>22</v>
      </c>
      <c r="N9" s="1">
        <v>93500</v>
      </c>
      <c r="O9" s="1">
        <v>86934</v>
      </c>
      <c r="P9" s="1" t="s">
        <v>1140</v>
      </c>
      <c r="Q9" s="1" t="s">
        <v>1989</v>
      </c>
    </row>
    <row r="10" spans="1:17">
      <c r="A10" s="28">
        <v>76843</v>
      </c>
      <c r="B10" s="28" t="s">
        <v>758</v>
      </c>
      <c r="C10" s="28" t="s">
        <v>6</v>
      </c>
      <c r="D10" s="22" t="s">
        <v>2250</v>
      </c>
      <c r="E10" s="8" t="str">
        <f>HYPERLINK("https://stat100.ameba.jp/tnk47/ratio20/illustrations/card/ill_76843_yunokarairu03.jpg", "■")</f>
        <v>■</v>
      </c>
      <c r="F10" s="1" t="s">
        <v>1141</v>
      </c>
      <c r="K10" s="1" t="s">
        <v>1142</v>
      </c>
      <c r="L10" s="1" t="s">
        <v>1194</v>
      </c>
      <c r="M10" s="1">
        <v>22</v>
      </c>
      <c r="N10" s="1">
        <v>101144</v>
      </c>
      <c r="O10" s="1">
        <v>108778</v>
      </c>
      <c r="P10" s="1" t="s">
        <v>1143</v>
      </c>
      <c r="Q10" s="1" t="s">
        <v>153</v>
      </c>
    </row>
    <row r="11" spans="1:17">
      <c r="A11" s="6">
        <v>86033</v>
      </c>
      <c r="B11" s="6" t="s">
        <v>306</v>
      </c>
      <c r="C11" s="6" t="s">
        <v>51</v>
      </c>
      <c r="D11" s="22" t="s">
        <v>2251</v>
      </c>
      <c r="E11" s="8" t="str">
        <f>HYPERLINK("https://stat100.ameba.jp/tnk47/ratio20/illustrations/card/ill_86033_ojoyoi03.jpg", "■")</f>
        <v>■</v>
      </c>
      <c r="F11" s="6" t="s">
        <v>1261</v>
      </c>
      <c r="G11" s="2"/>
      <c r="H11" s="2"/>
      <c r="I11" s="2"/>
      <c r="J11" s="2"/>
      <c r="K11" s="17"/>
      <c r="L11" s="17"/>
      <c r="M11" s="1">
        <v>22</v>
      </c>
      <c r="N11" s="1">
        <v>69648</v>
      </c>
      <c r="O11" s="1">
        <v>123760</v>
      </c>
      <c r="P11" s="6" t="s">
        <v>1264</v>
      </c>
      <c r="Q11" s="6" t="s">
        <v>1245</v>
      </c>
    </row>
    <row r="12" spans="1:17">
      <c r="A12" s="28">
        <v>74393</v>
      </c>
      <c r="B12" s="28" t="s">
        <v>310</v>
      </c>
      <c r="C12" s="28" t="s">
        <v>154</v>
      </c>
      <c r="D12" s="22" t="s">
        <v>2252</v>
      </c>
      <c r="E12" s="8" t="str">
        <f>HYPERLINK("https://stat100.ameba.jp/tnk47/ratio20/illustrations/card/ill_74393_toniuen03.jpg", "■")</f>
        <v>■</v>
      </c>
      <c r="F12" s="1" t="s">
        <v>1144</v>
      </c>
      <c r="L12" s="1" t="s">
        <v>1145</v>
      </c>
      <c r="M12" s="1">
        <v>22</v>
      </c>
      <c r="N12" s="1">
        <v>90918</v>
      </c>
      <c r="O12" s="1">
        <v>97778</v>
      </c>
      <c r="P12" s="1" t="s">
        <v>1146</v>
      </c>
      <c r="Q12" s="1" t="s">
        <v>1990</v>
      </c>
    </row>
    <row r="13" spans="1:17">
      <c r="A13" s="2">
        <v>76863</v>
      </c>
      <c r="B13" s="28" t="s">
        <v>310</v>
      </c>
      <c r="C13" s="28" t="s">
        <v>119</v>
      </c>
      <c r="D13" s="22" t="s">
        <v>2253</v>
      </c>
      <c r="E13" s="8" t="str">
        <f>HYPERLINK("https://stat100.ameba.jp/tnk47/ratio20/illustrations/card/ill_76863_gyanguma03.jpg", "■")</f>
        <v>■</v>
      </c>
      <c r="F13" s="1" t="s">
        <v>1147</v>
      </c>
      <c r="L13" s="1" t="s">
        <v>1148</v>
      </c>
      <c r="M13" s="1">
        <v>22</v>
      </c>
      <c r="N13" s="1">
        <v>102666</v>
      </c>
      <c r="O13" s="1">
        <v>95472</v>
      </c>
      <c r="P13" s="1" t="s">
        <v>1149</v>
      </c>
      <c r="Q13" s="1" t="s">
        <v>1740</v>
      </c>
    </row>
    <row r="14" spans="1:17">
      <c r="A14" s="2">
        <v>77713</v>
      </c>
      <c r="B14" s="28" t="s">
        <v>310</v>
      </c>
      <c r="C14" s="28" t="s">
        <v>169</v>
      </c>
      <c r="D14" s="22" t="s">
        <v>2254</v>
      </c>
      <c r="E14" s="8" t="str">
        <f>HYPERLINK("https://stat100.ameba.jp/tnk47/ratio20/illustrations/card/ill_77713_himeragiyukikaze03.jpg", "■")</f>
        <v>■</v>
      </c>
      <c r="F14" s="1" t="s">
        <v>1150</v>
      </c>
      <c r="I14" s="1" t="s">
        <v>1151</v>
      </c>
      <c r="J14" s="1" t="s">
        <v>1139</v>
      </c>
      <c r="L14" s="1" t="s">
        <v>1152</v>
      </c>
      <c r="M14" s="1">
        <v>22</v>
      </c>
      <c r="N14" s="1">
        <v>81888</v>
      </c>
      <c r="O14" s="1">
        <v>76152</v>
      </c>
      <c r="P14" s="1" t="s">
        <v>1153</v>
      </c>
      <c r="Q14" s="1" t="s">
        <v>1154</v>
      </c>
    </row>
    <row r="15" spans="1:17">
      <c r="A15" s="6">
        <v>86043</v>
      </c>
      <c r="B15" s="6" t="s">
        <v>379</v>
      </c>
      <c r="C15" s="6" t="s">
        <v>149</v>
      </c>
      <c r="D15" s="22" t="s">
        <v>2255</v>
      </c>
      <c r="E15" s="8" t="str">
        <f>HYPERLINK("https://stat100.ameba.jp/tnk47/ratio20/illustrations/card/ill_86043_samejimaakira03.jpg", "■")</f>
        <v>■</v>
      </c>
      <c r="F15" s="6" t="s">
        <v>1262</v>
      </c>
      <c r="K15" s="17"/>
      <c r="L15" s="17"/>
      <c r="M15" s="2">
        <v>22</v>
      </c>
      <c r="N15" s="1">
        <v>62000</v>
      </c>
      <c r="O15" s="1">
        <v>110186</v>
      </c>
      <c r="P15" s="6" t="s">
        <v>1265</v>
      </c>
      <c r="Q15" s="6" t="s">
        <v>1991</v>
      </c>
    </row>
    <row r="16" spans="1:17">
      <c r="A16" s="28">
        <v>73583</v>
      </c>
      <c r="B16" s="28" t="s">
        <v>313</v>
      </c>
      <c r="C16" s="28" t="s">
        <v>26</v>
      </c>
      <c r="D16" s="22" t="s">
        <v>2256</v>
      </c>
      <c r="E16" s="8" t="str">
        <f>HYPERLINK("https://stat100.ameba.jp/tnk47/ratio20/illustrations/card/ill_73583_usubaberunshutain03.jpg", "■")</f>
        <v>■</v>
      </c>
      <c r="F16" s="1" t="s">
        <v>1155</v>
      </c>
      <c r="G16" s="1" t="s">
        <v>1047</v>
      </c>
      <c r="M16" s="1">
        <v>22</v>
      </c>
      <c r="N16" s="1">
        <v>109104</v>
      </c>
      <c r="O16" s="1">
        <v>117332</v>
      </c>
      <c r="P16" s="1" t="s">
        <v>1156</v>
      </c>
      <c r="Q16" s="1" t="s">
        <v>1992</v>
      </c>
    </row>
    <row r="17" spans="1:17">
      <c r="A17" s="2">
        <v>76943</v>
      </c>
      <c r="B17" s="28" t="s">
        <v>313</v>
      </c>
      <c r="C17" s="28" t="s">
        <v>209</v>
      </c>
      <c r="D17" s="22" t="s">
        <v>2257</v>
      </c>
      <c r="E17" s="8" t="str">
        <f>HYPERLINK("https://stat100.ameba.jp/tnk47/ratio20/illustrations/card/ill_76943_azemichikarin03.jpg", "■")</f>
        <v>■</v>
      </c>
      <c r="F17" s="1" t="s">
        <v>1159</v>
      </c>
      <c r="M17" s="1">
        <v>22</v>
      </c>
      <c r="N17" s="1">
        <v>86934</v>
      </c>
      <c r="O17" s="1">
        <v>93500</v>
      </c>
      <c r="P17" s="1" t="s">
        <v>1160</v>
      </c>
      <c r="Q17" s="1" t="s">
        <v>1993</v>
      </c>
    </row>
    <row r="18" spans="1:17">
      <c r="A18" s="2">
        <v>77733</v>
      </c>
      <c r="B18" s="28" t="s">
        <v>313</v>
      </c>
      <c r="C18" s="28" t="s">
        <v>59</v>
      </c>
      <c r="D18" s="22" t="s">
        <v>2258</v>
      </c>
      <c r="E18" s="8" t="str">
        <f>HYPERLINK("https://stat100.ameba.jp/tnk47/ratio20/illustrations/card/ill_77733_azegamiarika03.jpg", "■")</f>
        <v>■</v>
      </c>
      <c r="F18" s="1" t="s">
        <v>1157</v>
      </c>
      <c r="I18" s="1" t="s">
        <v>1151</v>
      </c>
      <c r="M18" s="1">
        <v>22</v>
      </c>
      <c r="N18" s="1">
        <v>126142</v>
      </c>
      <c r="O18" s="1">
        <v>135666</v>
      </c>
      <c r="P18" s="1" t="s">
        <v>1158</v>
      </c>
      <c r="Q18" s="1" t="s">
        <v>823</v>
      </c>
    </row>
    <row r="19" spans="1:17">
      <c r="A19" s="28">
        <v>74403</v>
      </c>
      <c r="B19" s="28" t="s">
        <v>1161</v>
      </c>
      <c r="C19" s="28" t="s">
        <v>191</v>
      </c>
      <c r="D19" s="22" t="s">
        <v>2259</v>
      </c>
      <c r="E19" s="8" t="str">
        <f>HYPERLINK("https://stat100.ameba.jp/tnk47/ratio20/illustrations/card/ill_74403_tsurugiyu03.jpg", "■")</f>
        <v>■</v>
      </c>
      <c r="F19" s="1" t="s">
        <v>1162</v>
      </c>
      <c r="L19" s="1" t="s">
        <v>1163</v>
      </c>
      <c r="M19" s="1">
        <v>22</v>
      </c>
      <c r="N19" s="1">
        <v>91178</v>
      </c>
      <c r="O19" s="1">
        <v>84772</v>
      </c>
      <c r="P19" s="1" t="s">
        <v>1164</v>
      </c>
      <c r="Q19" s="1" t="s">
        <v>1994</v>
      </c>
    </row>
    <row r="20" spans="1:17">
      <c r="A20" s="28">
        <v>76923</v>
      </c>
      <c r="B20" s="28" t="s">
        <v>1161</v>
      </c>
      <c r="C20" s="28" t="s">
        <v>26</v>
      </c>
      <c r="D20" s="22" t="s">
        <v>2260</v>
      </c>
      <c r="E20" s="8" t="str">
        <f>HYPERLINK("https://stat100.ameba.jp/tnk47/ratio20/illustrations/card/ill_76923_amamorikuzuha03.jpg", "■")</f>
        <v>■</v>
      </c>
      <c r="F20" s="1" t="s">
        <v>1165</v>
      </c>
      <c r="J20" s="1" t="s">
        <v>1139</v>
      </c>
      <c r="K20" s="1" t="s">
        <v>1166</v>
      </c>
      <c r="L20" s="1" t="s">
        <v>1167</v>
      </c>
      <c r="M20" s="1">
        <v>22</v>
      </c>
      <c r="N20" s="1">
        <v>117332</v>
      </c>
      <c r="O20" s="1">
        <v>109104</v>
      </c>
      <c r="P20" s="1" t="s">
        <v>1168</v>
      </c>
      <c r="Q20" s="1" t="s">
        <v>1995</v>
      </c>
    </row>
    <row r="21" spans="1:17">
      <c r="A21" s="28">
        <v>79173</v>
      </c>
      <c r="B21" s="28" t="s">
        <v>5</v>
      </c>
      <c r="C21" s="28" t="s">
        <v>123</v>
      </c>
      <c r="D21" s="22" t="s">
        <v>2261</v>
      </c>
      <c r="E21" s="8" t="str">
        <f>HYPERLINK("https://stat100.ameba.jp/tnk47/ratio20/illustrations/card/ill_79173_seisamansabarozu03.jpg", "■")</f>
        <v>■</v>
      </c>
      <c r="F21" s="1" t="s">
        <v>1171</v>
      </c>
      <c r="M21" s="1">
        <v>22</v>
      </c>
      <c r="N21" s="1">
        <v>115676</v>
      </c>
      <c r="O21" s="1">
        <v>65088</v>
      </c>
      <c r="P21" s="1" t="s">
        <v>1172</v>
      </c>
      <c r="Q21" s="1" t="s">
        <v>932</v>
      </c>
    </row>
    <row r="22" spans="1:17">
      <c r="A22" s="28">
        <v>79183</v>
      </c>
      <c r="B22" s="28" t="s">
        <v>5</v>
      </c>
      <c r="C22" s="28" t="s">
        <v>209</v>
      </c>
      <c r="D22" s="22" t="s">
        <v>2262</v>
      </c>
      <c r="E22" s="8" t="str">
        <f>HYPERLINK("https://stat100.ameba.jp/tnk47/ratio20/illustrations/card/ill_79183_seiburijittorogan03.jpg", "■")</f>
        <v>■</v>
      </c>
      <c r="F22" s="1" t="s">
        <v>1173</v>
      </c>
      <c r="L22" s="1" t="s">
        <v>1126</v>
      </c>
      <c r="M22" s="1">
        <v>22</v>
      </c>
      <c r="N22" s="1">
        <v>111402</v>
      </c>
      <c r="O22" s="1">
        <v>62680</v>
      </c>
      <c r="P22" s="1" t="s">
        <v>1174</v>
      </c>
      <c r="Q22" s="1" t="s">
        <v>1227</v>
      </c>
    </row>
    <row r="23" spans="1:17">
      <c r="A23" s="28">
        <v>79193</v>
      </c>
      <c r="B23" s="28" t="s">
        <v>5</v>
      </c>
      <c r="C23" s="28" t="s">
        <v>119</v>
      </c>
      <c r="D23" s="22" t="s">
        <v>2263</v>
      </c>
      <c r="E23" s="8" t="str">
        <f>HYPERLINK("https://stat100.ameba.jp/tnk47/ratio20/illustrations/card/ill_79193_seinarimiya%20kirari03.jpg", "■")</f>
        <v>■</v>
      </c>
      <c r="F23" s="1" t="s">
        <v>1169</v>
      </c>
      <c r="M23" s="1">
        <v>22</v>
      </c>
      <c r="N23" s="1">
        <v>129936</v>
      </c>
      <c r="O23" s="1">
        <v>73106</v>
      </c>
      <c r="P23" s="1" t="s">
        <v>1170</v>
      </c>
      <c r="Q23" s="1" t="s">
        <v>1996</v>
      </c>
    </row>
    <row r="24" spans="1:17">
      <c r="A24" s="28">
        <v>79793</v>
      </c>
      <c r="B24" s="28" t="s">
        <v>5</v>
      </c>
      <c r="C24" s="28" t="s">
        <v>1175</v>
      </c>
      <c r="D24" s="22" t="s">
        <v>2264</v>
      </c>
      <c r="E24" s="8" t="str">
        <f>HYPERLINK("https://stat100.ameba.jp/tnk47/ratio20/illustrations/card/ill_79793_kuresuteirureina03.jpg", "■")</f>
        <v>■</v>
      </c>
      <c r="F24" s="1" t="s">
        <v>1176</v>
      </c>
      <c r="M24" s="1">
        <v>22</v>
      </c>
      <c r="N24" s="1">
        <v>75776</v>
      </c>
      <c r="O24" s="1">
        <v>134732</v>
      </c>
      <c r="P24" s="1" t="s">
        <v>1177</v>
      </c>
      <c r="Q24" s="1" t="s">
        <v>1178</v>
      </c>
    </row>
    <row r="25" spans="1:17">
      <c r="A25" s="2">
        <v>79803</v>
      </c>
      <c r="B25" s="28" t="s">
        <v>5</v>
      </c>
      <c r="C25" s="28" t="s">
        <v>1179</v>
      </c>
      <c r="D25" s="22" t="s">
        <v>2265</v>
      </c>
      <c r="E25" s="8" t="str">
        <f>HYPERLINK("https://stat100.ameba.jp/tnk47/ratio20/illustrations/card/ill_79803_oyamadaisane03.jpg", "■")</f>
        <v>■</v>
      </c>
      <c r="F25" s="1" t="s">
        <v>1180</v>
      </c>
      <c r="M25" s="1">
        <v>22</v>
      </c>
      <c r="N25" s="1">
        <v>62686</v>
      </c>
      <c r="O25" s="1">
        <v>111406</v>
      </c>
      <c r="P25" s="1" t="s">
        <v>1181</v>
      </c>
      <c r="Q25" s="1" t="s">
        <v>1182</v>
      </c>
    </row>
    <row r="26" spans="1:17">
      <c r="A26" s="2">
        <v>79813</v>
      </c>
      <c r="B26" s="28" t="s">
        <v>5</v>
      </c>
      <c r="C26" s="28" t="s">
        <v>1183</v>
      </c>
      <c r="D26" s="22" t="s">
        <v>2266</v>
      </c>
      <c r="E26" s="8" t="str">
        <f>HYPERLINK("https://stat100.ameba.jp/tnk47/ratio20/illustrations/card/ill_79813_takarazukamarimo03.jpg", "■")</f>
        <v>■</v>
      </c>
      <c r="F26" s="1" t="s">
        <v>1184</v>
      </c>
      <c r="M26" s="1">
        <v>22</v>
      </c>
      <c r="N26" s="1">
        <v>130052</v>
      </c>
      <c r="O26" s="1">
        <v>73178</v>
      </c>
      <c r="P26" s="1" t="s">
        <v>1185</v>
      </c>
      <c r="Q26" s="1" t="s">
        <v>1186</v>
      </c>
    </row>
    <row r="27" spans="1:17">
      <c r="A27" s="28">
        <v>79843</v>
      </c>
      <c r="B27" s="28" t="s">
        <v>5</v>
      </c>
      <c r="C27" s="28" t="s">
        <v>59</v>
      </c>
      <c r="D27" s="22" t="s">
        <v>2267</v>
      </c>
      <c r="E27" s="8" t="str">
        <f>HYPERLINK("https://stat100.ameba.jp/tnk47/ratio20/illustrations/card/ill_79843_saotomereiichi03.jpg", "■")</f>
        <v>■</v>
      </c>
      <c r="F27" s="1" t="s">
        <v>1187</v>
      </c>
      <c r="K27" s="1" t="s">
        <v>1288</v>
      </c>
      <c r="M27" s="1">
        <v>22</v>
      </c>
      <c r="N27" s="1">
        <v>169596</v>
      </c>
      <c r="O27" s="1">
        <v>95436</v>
      </c>
      <c r="P27" s="1" t="s">
        <v>1188</v>
      </c>
      <c r="Q27" s="1" t="s">
        <v>606</v>
      </c>
    </row>
    <row r="28" spans="1:17">
      <c r="A28" s="28">
        <v>79853</v>
      </c>
      <c r="B28" s="28" t="s">
        <v>5</v>
      </c>
      <c r="C28" s="28" t="s">
        <v>74</v>
      </c>
      <c r="D28" s="22" t="s">
        <v>2268</v>
      </c>
      <c r="E28" s="8" t="str">
        <f>HYPERLINK("https://stat100.ameba.jp/tnk47/ratio20/illustrations/card/ill_79853_ryuoinsamidare03.jpg", "■")</f>
        <v>■</v>
      </c>
      <c r="F28" s="1" t="s">
        <v>1189</v>
      </c>
      <c r="M28" s="1">
        <v>22</v>
      </c>
      <c r="N28" s="1">
        <v>118874</v>
      </c>
      <c r="O28" s="1">
        <v>66902</v>
      </c>
      <c r="P28" s="1" t="s">
        <v>1190</v>
      </c>
      <c r="Q28" s="1" t="s">
        <v>1997</v>
      </c>
    </row>
    <row r="29" spans="1:17">
      <c r="A29" s="28">
        <v>79863</v>
      </c>
      <c r="B29" s="28" t="s">
        <v>5</v>
      </c>
      <c r="C29" s="28" t="s">
        <v>67</v>
      </c>
      <c r="D29" s="22" t="s">
        <v>2269</v>
      </c>
      <c r="E29" s="8" t="str">
        <f>HYPERLINK("https://stat100.ameba.jp/tnk47/ratio20/illustrations/card/ill_79863_nagadoayumi03.jpg", "■")</f>
        <v>■</v>
      </c>
      <c r="F29" s="1" t="s">
        <v>1191</v>
      </c>
      <c r="M29" s="1">
        <v>22</v>
      </c>
      <c r="N29" s="1">
        <v>65480</v>
      </c>
      <c r="O29" s="1">
        <v>116364</v>
      </c>
      <c r="P29" s="1" t="s">
        <v>1192</v>
      </c>
      <c r="Q29" s="1" t="s">
        <v>797</v>
      </c>
    </row>
    <row r="30" spans="1:17">
      <c r="E30" s="14"/>
    </row>
    <row r="31" spans="1:17">
      <c r="E31" s="15"/>
    </row>
    <row r="32" spans="1:17">
      <c r="E32" s="15"/>
    </row>
    <row r="33" spans="5:5">
      <c r="E33" s="14"/>
    </row>
    <row r="34" spans="5:5">
      <c r="E34" s="14"/>
    </row>
    <row r="35" spans="5:5">
      <c r="E35" s="15"/>
    </row>
    <row r="36" spans="5:5">
      <c r="E36" s="15"/>
    </row>
    <row r="37" spans="5:5">
      <c r="E37" s="15"/>
    </row>
    <row r="38" spans="5:5">
      <c r="E38" s="14"/>
    </row>
    <row r="39" spans="5:5">
      <c r="E39" s="15"/>
    </row>
    <row r="40" spans="5:5">
      <c r="E40" s="15"/>
    </row>
    <row r="41" spans="5:5">
      <c r="E41" s="14"/>
    </row>
    <row r="42" spans="5:5">
      <c r="E42" s="14"/>
    </row>
    <row r="43" spans="5:5">
      <c r="E43" s="15"/>
    </row>
    <row r="44" spans="5:5">
      <c r="E44" s="15"/>
    </row>
    <row r="45" spans="5:5">
      <c r="E45" s="14"/>
    </row>
    <row r="46" spans="5:5">
      <c r="E46" s="15"/>
    </row>
    <row r="47" spans="5:5">
      <c r="E47" s="15"/>
    </row>
    <row r="48" spans="5:5">
      <c r="E48" s="14"/>
    </row>
    <row r="49" spans="5:5">
      <c r="E49" s="15"/>
    </row>
    <row r="50" spans="5:5">
      <c r="E50" s="15"/>
    </row>
    <row r="51" spans="5:5">
      <c r="E51" s="14"/>
    </row>
    <row r="52" spans="5:5">
      <c r="E52" s="15"/>
    </row>
    <row r="53" spans="5:5">
      <c r="E53" s="15"/>
    </row>
    <row r="54" spans="5:5">
      <c r="E54" s="14"/>
    </row>
    <row r="55" spans="5:5">
      <c r="E55" s="15"/>
    </row>
    <row r="56" spans="5:5">
      <c r="E56" s="15"/>
    </row>
    <row r="57" spans="5:5">
      <c r="E57" s="15"/>
    </row>
    <row r="58" spans="5:5">
      <c r="E58" s="15"/>
    </row>
    <row r="59" spans="5:5">
      <c r="E59" s="15"/>
    </row>
    <row r="60" spans="5:5">
      <c r="E60" s="14"/>
    </row>
    <row r="61" spans="5:5">
      <c r="E61" s="15"/>
    </row>
    <row r="62" spans="5:5">
      <c r="E62" s="15"/>
    </row>
  </sheetData>
  <phoneticPr fontId="3"/>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411DDF-5FBB-4997-95E8-1FDF674EA6C4}">
  <dimension ref="A1:M62"/>
  <sheetViews>
    <sheetView zoomScale="55" zoomScaleNormal="55" workbookViewId="0">
      <pane ySplit="1" topLeftCell="A2" activePane="bottomLeft" state="frozen"/>
      <selection pane="bottomLeft"/>
    </sheetView>
  </sheetViews>
  <sheetFormatPr defaultColWidth="8.9140625" defaultRowHeight="18"/>
  <cols>
    <col min="1" max="1" width="6.33203125" style="1" customWidth="1"/>
    <col min="2" max="2" width="10.5" style="1" customWidth="1"/>
    <col min="3" max="3" width="5.6640625" style="1" customWidth="1"/>
    <col min="4" max="4" width="25.83203125" style="1" customWidth="1"/>
    <col min="5" max="5" width="3.9140625" style="20" customWidth="1"/>
    <col min="6" max="6" width="29.08203125" style="1" hidden="1" customWidth="1"/>
    <col min="7" max="8" width="20.75" style="1" hidden="1" customWidth="1"/>
    <col min="9" max="9" width="4.9140625" style="1" customWidth="1"/>
    <col min="10" max="11" width="7.25" style="1" customWidth="1"/>
    <col min="12" max="12" width="12.4140625" style="1" hidden="1" customWidth="1"/>
    <col min="13" max="13" width="65.9140625" style="1" customWidth="1"/>
    <col min="14" max="16384" width="8.9140625" style="1"/>
  </cols>
  <sheetData>
    <row r="1" spans="1:13">
      <c r="A1" s="13" t="s">
        <v>583</v>
      </c>
      <c r="B1" s="13" t="s">
        <v>0</v>
      </c>
      <c r="C1" s="13" t="s">
        <v>1</v>
      </c>
      <c r="D1" s="13" t="s">
        <v>2</v>
      </c>
      <c r="E1" s="12" t="s">
        <v>2126</v>
      </c>
      <c r="F1" s="13" t="s">
        <v>637</v>
      </c>
      <c r="G1" s="13" t="s">
        <v>1122</v>
      </c>
      <c r="H1" s="13" t="s">
        <v>1040</v>
      </c>
      <c r="I1" s="12" t="s">
        <v>114</v>
      </c>
      <c r="J1" s="12" t="s">
        <v>657</v>
      </c>
      <c r="K1" s="12" t="s">
        <v>658</v>
      </c>
      <c r="L1" s="12" t="s">
        <v>4</v>
      </c>
      <c r="M1" s="12" t="s">
        <v>2803</v>
      </c>
    </row>
    <row r="2" spans="1:13">
      <c r="A2" s="2"/>
      <c r="B2" s="2"/>
      <c r="C2" s="28"/>
      <c r="G2" s="17"/>
      <c r="H2" s="17"/>
      <c r="I2" s="2"/>
      <c r="J2" s="2"/>
      <c r="K2" s="2"/>
    </row>
    <row r="3" spans="1:13">
      <c r="A3" s="28">
        <v>76073</v>
      </c>
      <c r="B3" s="28" t="s">
        <v>10</v>
      </c>
      <c r="C3" s="28" t="s">
        <v>59</v>
      </c>
      <c r="D3" s="22" t="s">
        <v>2238</v>
      </c>
      <c r="E3" s="8" t="str">
        <f>HYPERLINK("https://stat100.ameba.jp/tnk47/ratio20/illustrations/card/ill_76073_kokidogatapatobatora03.jpg", "■")</f>
        <v>■</v>
      </c>
      <c r="F3" s="1" t="s">
        <v>1195</v>
      </c>
      <c r="G3" s="1" t="s">
        <v>1196</v>
      </c>
      <c r="I3" s="1">
        <v>22</v>
      </c>
      <c r="J3" s="1">
        <v>134446</v>
      </c>
      <c r="K3" s="1">
        <v>125008</v>
      </c>
      <c r="L3" s="1" t="s">
        <v>1205</v>
      </c>
      <c r="M3" s="1" t="s">
        <v>1998</v>
      </c>
    </row>
    <row r="4" spans="1:13">
      <c r="A4" s="28">
        <v>76083</v>
      </c>
      <c r="B4" s="28" t="s">
        <v>14</v>
      </c>
      <c r="C4" s="28" t="s">
        <v>123</v>
      </c>
      <c r="D4" s="22" t="s">
        <v>2239</v>
      </c>
      <c r="E4" s="8" t="str">
        <f>HYPERLINK("https://stat100.ameba.jp/tnk47/ratio20/illustrations/card/ill_76083_dokutamedeikku03.jpg", "■")</f>
        <v>■</v>
      </c>
      <c r="F4" s="1" t="s">
        <v>1197</v>
      </c>
      <c r="G4" s="1" t="s">
        <v>1166</v>
      </c>
      <c r="I4" s="1">
        <v>22</v>
      </c>
      <c r="J4" s="1">
        <v>96610</v>
      </c>
      <c r="K4" s="1">
        <v>103888</v>
      </c>
      <c r="L4" s="1" t="s">
        <v>1206</v>
      </c>
      <c r="M4" s="1" t="s">
        <v>1207</v>
      </c>
    </row>
    <row r="5" spans="1:13">
      <c r="A5" s="28">
        <v>76093</v>
      </c>
      <c r="B5" s="28" t="s">
        <v>5</v>
      </c>
      <c r="C5" s="28" t="s">
        <v>169</v>
      </c>
      <c r="D5" s="22" t="s">
        <v>2240</v>
      </c>
      <c r="E5" s="8" t="str">
        <f>HYPERLINK("https://stat100.ameba.jp/tnk47/ratio20/illustrations/card/ill_76093_fuaiafuaita03.jpg", "■")</f>
        <v>■</v>
      </c>
      <c r="F5" s="1" t="s">
        <v>1198</v>
      </c>
      <c r="G5" s="1" t="s">
        <v>1199</v>
      </c>
      <c r="I5" s="1">
        <v>22</v>
      </c>
      <c r="J5" s="1">
        <v>96610</v>
      </c>
      <c r="K5" s="1">
        <v>103888</v>
      </c>
      <c r="L5" s="1" t="s">
        <v>1208</v>
      </c>
      <c r="M5" s="1" t="s">
        <v>1999</v>
      </c>
    </row>
    <row r="6" spans="1:13">
      <c r="A6" s="28">
        <v>74413</v>
      </c>
      <c r="B6" s="28" t="s">
        <v>5</v>
      </c>
      <c r="C6" s="28" t="s">
        <v>44</v>
      </c>
      <c r="D6" s="22" t="s">
        <v>2241</v>
      </c>
      <c r="E6" s="8" t="str">
        <f>HYPERLINK("https://stat100.ameba.jp/tnk47/ratio20/illustrations/card/ill_74413_mutekisenkanyamato03.jpg", "■")</f>
        <v>■</v>
      </c>
      <c r="F6" s="1" t="s">
        <v>1200</v>
      </c>
      <c r="I6" s="1">
        <v>22</v>
      </c>
      <c r="J6" s="1">
        <v>129556</v>
      </c>
      <c r="K6" s="1">
        <v>120470</v>
      </c>
      <c r="L6" s="1" t="s">
        <v>1209</v>
      </c>
      <c r="M6" s="1" t="s">
        <v>2000</v>
      </c>
    </row>
    <row r="7" spans="1:13">
      <c r="A7" s="28">
        <v>74373</v>
      </c>
      <c r="B7" s="28" t="s">
        <v>41</v>
      </c>
      <c r="C7" s="28" t="s">
        <v>67</v>
      </c>
      <c r="D7" s="22" t="s">
        <v>2242</v>
      </c>
      <c r="E7" s="8" t="str">
        <f>HYPERLINK("https://stat100.ameba.jp/tnk47/ratio20/illustrations/card/ill_74373_shirasaginomaihimejijou03.jpg", "■")</f>
        <v>■</v>
      </c>
      <c r="F7" s="1" t="s">
        <v>1201</v>
      </c>
      <c r="G7" s="1" t="s">
        <v>1202</v>
      </c>
      <c r="I7" s="1">
        <v>22</v>
      </c>
      <c r="J7" s="1">
        <v>86778</v>
      </c>
      <c r="K7" s="1">
        <v>80708</v>
      </c>
      <c r="L7" s="1" t="s">
        <v>1210</v>
      </c>
      <c r="M7" s="1" t="s">
        <v>2001</v>
      </c>
    </row>
    <row r="8" spans="1:13">
      <c r="A8" s="28">
        <v>74363</v>
      </c>
      <c r="B8" s="28" t="s">
        <v>37</v>
      </c>
      <c r="C8" s="28" t="s">
        <v>119</v>
      </c>
      <c r="D8" s="22" t="s">
        <v>2243</v>
      </c>
      <c r="E8" s="8" t="str">
        <f>HYPERLINK("https://stat100.ameba.jp/tnk47/ratio20/illustrations/card/ill_74363_gantorikuren03.jpg", "■")</f>
        <v>■</v>
      </c>
      <c r="F8" s="1" t="s">
        <v>1203</v>
      </c>
      <c r="G8" s="1" t="s">
        <v>1204</v>
      </c>
      <c r="I8" s="1">
        <v>22</v>
      </c>
      <c r="J8" s="1">
        <v>82978</v>
      </c>
      <c r="K8" s="1">
        <v>89222</v>
      </c>
      <c r="L8" s="1" t="s">
        <v>1211</v>
      </c>
      <c r="M8" s="1" t="s">
        <v>556</v>
      </c>
    </row>
    <row r="9" spans="1:13">
      <c r="E9" s="15"/>
    </row>
    <row r="10" spans="1:13">
      <c r="E10" s="15"/>
    </row>
    <row r="11" spans="1:13">
      <c r="E11" s="14"/>
    </row>
    <row r="12" spans="1:13">
      <c r="E12" s="14"/>
    </row>
    <row r="13" spans="1:13">
      <c r="E13" s="15"/>
    </row>
    <row r="14" spans="1:13">
      <c r="E14" s="15"/>
    </row>
    <row r="15" spans="1:13">
      <c r="E15" s="15"/>
    </row>
    <row r="16" spans="1:13">
      <c r="E16" s="14"/>
    </row>
    <row r="17" spans="5:5">
      <c r="E17" s="15"/>
    </row>
    <row r="18" spans="5:5">
      <c r="E18" s="15"/>
    </row>
    <row r="19" spans="5:5">
      <c r="E19" s="14"/>
    </row>
    <row r="20" spans="5:5">
      <c r="E20" s="14"/>
    </row>
    <row r="21" spans="5:5">
      <c r="E21" s="15"/>
    </row>
    <row r="22" spans="5:5">
      <c r="E22" s="15"/>
    </row>
    <row r="23" spans="5:5">
      <c r="E23" s="14"/>
    </row>
    <row r="24" spans="5:5">
      <c r="E24" s="14"/>
    </row>
    <row r="25" spans="5:5">
      <c r="E25" s="15"/>
    </row>
    <row r="26" spans="5:5">
      <c r="E26" s="15"/>
    </row>
    <row r="27" spans="5:5">
      <c r="E27" s="15"/>
    </row>
    <row r="28" spans="5:5">
      <c r="E28" s="15"/>
    </row>
    <row r="29" spans="5:5">
      <c r="E29" s="14"/>
    </row>
    <row r="30" spans="5:5">
      <c r="E30" s="14"/>
    </row>
    <row r="31" spans="5:5">
      <c r="E31" s="15"/>
    </row>
    <row r="32" spans="5:5">
      <c r="E32" s="15"/>
    </row>
    <row r="33" spans="5:5">
      <c r="E33" s="14"/>
    </row>
    <row r="34" spans="5:5">
      <c r="E34" s="14"/>
    </row>
    <row r="35" spans="5:5">
      <c r="E35" s="15"/>
    </row>
    <row r="36" spans="5:5">
      <c r="E36" s="15"/>
    </row>
    <row r="37" spans="5:5">
      <c r="E37" s="15"/>
    </row>
    <row r="38" spans="5:5">
      <c r="E38" s="14"/>
    </row>
    <row r="39" spans="5:5">
      <c r="E39" s="15"/>
    </row>
    <row r="40" spans="5:5">
      <c r="E40" s="15"/>
    </row>
    <row r="41" spans="5:5">
      <c r="E41" s="14"/>
    </row>
    <row r="42" spans="5:5">
      <c r="E42" s="14"/>
    </row>
    <row r="43" spans="5:5">
      <c r="E43" s="15"/>
    </row>
    <row r="44" spans="5:5">
      <c r="E44" s="15"/>
    </row>
    <row r="45" spans="5:5">
      <c r="E45" s="14"/>
    </row>
    <row r="46" spans="5:5">
      <c r="E46" s="15"/>
    </row>
    <row r="47" spans="5:5">
      <c r="E47" s="15"/>
    </row>
    <row r="48" spans="5:5">
      <c r="E48" s="14"/>
    </row>
    <row r="49" spans="5:5">
      <c r="E49" s="15"/>
    </row>
    <row r="50" spans="5:5">
      <c r="E50" s="15"/>
    </row>
    <row r="51" spans="5:5">
      <c r="E51" s="14"/>
    </row>
    <row r="52" spans="5:5">
      <c r="E52" s="15"/>
    </row>
    <row r="53" spans="5:5">
      <c r="E53" s="15"/>
    </row>
    <row r="54" spans="5:5">
      <c r="E54" s="14"/>
    </row>
    <row r="55" spans="5:5">
      <c r="E55" s="15"/>
    </row>
    <row r="56" spans="5:5">
      <c r="E56" s="15"/>
    </row>
    <row r="57" spans="5:5">
      <c r="E57" s="15"/>
    </row>
    <row r="58" spans="5:5">
      <c r="E58" s="15"/>
    </row>
    <row r="59" spans="5:5">
      <c r="E59" s="15"/>
    </row>
    <row r="60" spans="5:5">
      <c r="E60" s="14"/>
    </row>
    <row r="61" spans="5:5">
      <c r="E61" s="15"/>
    </row>
    <row r="62" spans="5:5">
      <c r="E62" s="15"/>
    </row>
  </sheetData>
  <phoneticPr fontId="3"/>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1D4F2E-B4BC-4F66-A9C1-888AA14CD0A4}">
  <dimension ref="A1:M55"/>
  <sheetViews>
    <sheetView zoomScale="55" zoomScaleNormal="55" workbookViewId="0">
      <pane ySplit="1" topLeftCell="A2" activePane="bottomLeft" state="frozen"/>
      <selection pane="bottomLeft"/>
    </sheetView>
  </sheetViews>
  <sheetFormatPr defaultColWidth="8.9140625" defaultRowHeight="18"/>
  <cols>
    <col min="1" max="1" width="6.33203125" style="1" customWidth="1"/>
    <col min="2" max="2" width="10.5" style="1" customWidth="1"/>
    <col min="3" max="3" width="5.6640625" style="1" customWidth="1"/>
    <col min="4" max="4" width="25.83203125" style="1" customWidth="1"/>
    <col min="5" max="5" width="3.9140625" style="20" customWidth="1"/>
    <col min="6" max="6" width="29.08203125" style="1" hidden="1" customWidth="1"/>
    <col min="7" max="8" width="20.75" style="1" hidden="1" customWidth="1"/>
    <col min="9" max="9" width="4.9140625" style="1" customWidth="1"/>
    <col min="10" max="11" width="7.25" style="1" customWidth="1"/>
    <col min="12" max="12" width="12.4140625" style="1" hidden="1" customWidth="1"/>
    <col min="13" max="13" width="91" style="1" customWidth="1"/>
    <col min="14" max="16384" width="8.9140625" style="1"/>
  </cols>
  <sheetData>
    <row r="1" spans="1:13">
      <c r="A1" s="13" t="s">
        <v>583</v>
      </c>
      <c r="B1" s="13" t="s">
        <v>0</v>
      </c>
      <c r="C1" s="13" t="s">
        <v>1</v>
      </c>
      <c r="D1" s="13" t="s">
        <v>2</v>
      </c>
      <c r="E1" s="12" t="s">
        <v>2126</v>
      </c>
      <c r="F1" s="13" t="s">
        <v>637</v>
      </c>
      <c r="G1" s="13" t="s">
        <v>1122</v>
      </c>
      <c r="H1" s="13" t="s">
        <v>1040</v>
      </c>
      <c r="I1" s="12" t="s">
        <v>114</v>
      </c>
      <c r="J1" s="12" t="s">
        <v>657</v>
      </c>
      <c r="K1" s="12" t="s">
        <v>658</v>
      </c>
      <c r="L1" s="12" t="s">
        <v>4</v>
      </c>
      <c r="M1" s="12" t="s">
        <v>2803</v>
      </c>
    </row>
    <row r="2" spans="1:13">
      <c r="A2" s="2"/>
      <c r="B2" s="2"/>
      <c r="C2" s="28"/>
      <c r="G2" s="17"/>
      <c r="H2" s="17"/>
      <c r="I2" s="2"/>
      <c r="J2" s="2"/>
      <c r="K2" s="2"/>
    </row>
    <row r="3" spans="1:13">
      <c r="A3" s="32">
        <v>88853</v>
      </c>
      <c r="B3" s="32" t="s">
        <v>148</v>
      </c>
      <c r="C3" s="32" t="s">
        <v>17</v>
      </c>
      <c r="D3" s="32" t="s">
        <v>2727</v>
      </c>
      <c r="E3" s="8" t="str">
        <f>HYPERLINK("https://stat100.ameba.jp/tnk47/ratio20/illustrations/card/ill_88853_shumbunasutorea03.jpg", "■")</f>
        <v>■</v>
      </c>
      <c r="F3" s="32" t="s">
        <v>2745</v>
      </c>
      <c r="I3" s="32">
        <v>26</v>
      </c>
      <c r="J3" s="32">
        <v>87564</v>
      </c>
      <c r="K3" s="32">
        <v>155784</v>
      </c>
      <c r="L3" s="32" t="s">
        <v>2733</v>
      </c>
      <c r="M3" s="32" t="s">
        <v>2734</v>
      </c>
    </row>
    <row r="4" spans="1:13">
      <c r="A4" s="32">
        <v>88863</v>
      </c>
      <c r="B4" s="32" t="s">
        <v>303</v>
      </c>
      <c r="C4" s="32" t="s">
        <v>174</v>
      </c>
      <c r="D4" s="32" t="s">
        <v>2728</v>
      </c>
      <c r="E4" s="8" t="str">
        <f>HYPERLINK("https://stat100.ameba.jp/tnk47/ratio20/illustrations/card/ill_88863_shumbunaguraia03.jpg", "■")</f>
        <v>■</v>
      </c>
      <c r="F4" s="32" t="s">
        <v>2746</v>
      </c>
      <c r="I4" s="32">
        <v>26</v>
      </c>
      <c r="J4" s="32">
        <v>87564</v>
      </c>
      <c r="K4" s="32">
        <v>155784</v>
      </c>
      <c r="L4" s="32" t="s">
        <v>2735</v>
      </c>
      <c r="M4" s="32" t="s">
        <v>2736</v>
      </c>
    </row>
    <row r="5" spans="1:13">
      <c r="A5" s="32">
        <v>88873</v>
      </c>
      <c r="B5" s="32" t="s">
        <v>306</v>
      </c>
      <c r="C5" s="32" t="s">
        <v>191</v>
      </c>
      <c r="D5" s="32" t="s">
        <v>2729</v>
      </c>
      <c r="E5" s="8" t="str">
        <f>HYPERLINK("https://stat100.ameba.jp/tnk47/ratio20/illustrations/card/ill_88873_shumbunjatayu03.jpg", "■")</f>
        <v>■</v>
      </c>
      <c r="F5" s="32" t="s">
        <v>2747</v>
      </c>
      <c r="I5" s="32">
        <v>26</v>
      </c>
      <c r="J5" s="32">
        <v>87564</v>
      </c>
      <c r="K5" s="32">
        <v>155784</v>
      </c>
      <c r="L5" s="32" t="s">
        <v>2737</v>
      </c>
      <c r="M5" s="32" t="s">
        <v>2738</v>
      </c>
    </row>
    <row r="6" spans="1:13">
      <c r="A6" s="32">
        <v>88883</v>
      </c>
      <c r="B6" s="32" t="s">
        <v>379</v>
      </c>
      <c r="C6" s="32" t="s">
        <v>96</v>
      </c>
      <c r="D6" s="32" t="s">
        <v>2730</v>
      </c>
      <c r="E6" s="8" t="str">
        <f>HYPERLINK("https://stat100.ameba.jp/tnk47/ratio20/illustrations/card/ill_88883_shumbunkuroriannu03.jpg", "■")</f>
        <v>■</v>
      </c>
      <c r="F6" s="32" t="s">
        <v>2748</v>
      </c>
      <c r="I6" s="32">
        <v>26</v>
      </c>
      <c r="J6" s="32">
        <v>87564</v>
      </c>
      <c r="K6" s="32">
        <v>155784</v>
      </c>
      <c r="L6" s="32" t="s">
        <v>2739</v>
      </c>
      <c r="M6" s="32" t="s">
        <v>2740</v>
      </c>
    </row>
    <row r="7" spans="1:13">
      <c r="A7" s="32">
        <v>88893</v>
      </c>
      <c r="B7" s="32" t="s">
        <v>168</v>
      </c>
      <c r="C7" s="32" t="s">
        <v>26</v>
      </c>
      <c r="D7" s="32" t="s">
        <v>2731</v>
      </c>
      <c r="E7" s="8" t="str">
        <f>HYPERLINK("https://stat100.ameba.jp/tnk47/ratio20/illustrations/card/ill_88893_shumbumbisuna03.jpg", "■")</f>
        <v>■</v>
      </c>
      <c r="F7" s="32" t="s">
        <v>2749</v>
      </c>
      <c r="I7" s="32">
        <v>26</v>
      </c>
      <c r="J7" s="32">
        <v>87564</v>
      </c>
      <c r="K7" s="32">
        <v>155784</v>
      </c>
      <c r="L7" s="32" t="s">
        <v>2741</v>
      </c>
      <c r="M7" s="32" t="s">
        <v>2742</v>
      </c>
    </row>
    <row r="8" spans="1:13">
      <c r="A8" s="32">
        <v>88903</v>
      </c>
      <c r="B8" s="32" t="s">
        <v>1161</v>
      </c>
      <c r="C8" s="32" t="s">
        <v>154</v>
      </c>
      <c r="D8" s="32" t="s">
        <v>2732</v>
      </c>
      <c r="E8" s="8" t="str">
        <f>HYPERLINK("https://stat100.ameba.jp/tnk47/ratio20/illustrations/card/ill_88903_shumbunradomma03.jpg", "■")</f>
        <v>■</v>
      </c>
      <c r="F8" s="32" t="s">
        <v>2750</v>
      </c>
      <c r="I8" s="32">
        <v>26</v>
      </c>
      <c r="J8" s="32">
        <v>87564</v>
      </c>
      <c r="K8" s="32">
        <v>155784</v>
      </c>
      <c r="L8" s="32" t="s">
        <v>2743</v>
      </c>
      <c r="M8" s="32" t="s">
        <v>2744</v>
      </c>
    </row>
    <row r="9" spans="1:13">
      <c r="A9" s="28">
        <v>75203</v>
      </c>
      <c r="B9" s="28" t="s">
        <v>10</v>
      </c>
      <c r="C9" s="28" t="s">
        <v>44</v>
      </c>
      <c r="D9" s="22" t="s">
        <v>2222</v>
      </c>
      <c r="E9" s="8" t="str">
        <f>HYPERLINK("http://stat100.ameba.jp/tnk47/ratio20/illustrations/card/ill_75203_hisuitsuraratsukainoyama03.jpg", "■")</f>
        <v>■</v>
      </c>
      <c r="F9" s="1" t="s">
        <v>1212</v>
      </c>
      <c r="H9" s="1" t="s">
        <v>1213</v>
      </c>
      <c r="I9" s="1">
        <v>22</v>
      </c>
      <c r="J9" s="1">
        <v>97778</v>
      </c>
      <c r="K9" s="1">
        <v>90918</v>
      </c>
      <c r="L9" s="1" t="s">
        <v>1214</v>
      </c>
      <c r="M9" s="1" t="s">
        <v>1186</v>
      </c>
    </row>
    <row r="10" spans="1:13">
      <c r="A10" s="28">
        <v>75973</v>
      </c>
      <c r="B10" s="28" t="s">
        <v>10</v>
      </c>
      <c r="C10" s="28" t="s">
        <v>6</v>
      </c>
      <c r="D10" s="22" t="s">
        <v>2223</v>
      </c>
      <c r="E10" s="8" t="str">
        <f>HYPERLINK("http://stat100.ameba.jp/tnk47/ratio20/illustrations/card/ill_75973_hojonomegamifuriggu03.jpg", "■")</f>
        <v>■</v>
      </c>
      <c r="F10" s="1" t="s">
        <v>1215</v>
      </c>
      <c r="H10" s="1" t="s">
        <v>1216</v>
      </c>
      <c r="I10" s="1">
        <v>22</v>
      </c>
      <c r="J10" s="1">
        <v>90870</v>
      </c>
      <c r="K10" s="1">
        <v>161516</v>
      </c>
      <c r="L10" s="1" t="s">
        <v>1217</v>
      </c>
      <c r="M10" s="1" t="s">
        <v>1218</v>
      </c>
    </row>
    <row r="11" spans="1:13">
      <c r="A11" s="28">
        <v>76873</v>
      </c>
      <c r="B11" s="28" t="s">
        <v>1219</v>
      </c>
      <c r="C11" s="28" t="s">
        <v>169</v>
      </c>
      <c r="D11" s="22" t="s">
        <v>2224</v>
      </c>
      <c r="E11" s="8" t="str">
        <f>HYPERLINK("http://stat100.ameba.jp/tnk47/ratio20/illustrations/card/ill_76873_torerokamomiro03.jpg", "■")</f>
        <v>■</v>
      </c>
      <c r="F11" s="1" t="s">
        <v>1220</v>
      </c>
      <c r="G11" s="1" t="s">
        <v>1166</v>
      </c>
      <c r="I11" s="1">
        <v>22</v>
      </c>
      <c r="J11" s="1">
        <v>161516</v>
      </c>
      <c r="K11" s="1">
        <v>90870</v>
      </c>
      <c r="L11" s="1" t="s">
        <v>1221</v>
      </c>
      <c r="M11" s="1" t="s">
        <v>1222</v>
      </c>
    </row>
    <row r="12" spans="1:13">
      <c r="A12" s="28">
        <v>76953</v>
      </c>
      <c r="B12" s="28" t="s">
        <v>10</v>
      </c>
      <c r="C12" s="28" t="s">
        <v>44</v>
      </c>
      <c r="D12" s="22" t="s">
        <v>2225</v>
      </c>
      <c r="E12" s="8" t="str">
        <f>HYPERLINK("http://stat100.ameba.jp/tnk47/ratio20/illustrations/card/ill_76953_gureteru03.jpg", "■")</f>
        <v>■</v>
      </c>
      <c r="F12" s="1" t="s">
        <v>1223</v>
      </c>
      <c r="G12" s="1" t="s">
        <v>1166</v>
      </c>
      <c r="I12" s="1">
        <v>22</v>
      </c>
      <c r="J12" s="1">
        <v>69714</v>
      </c>
      <c r="K12" s="1">
        <v>123870</v>
      </c>
      <c r="L12" s="1" t="s">
        <v>1224</v>
      </c>
      <c r="M12" s="1" t="s">
        <v>2002</v>
      </c>
    </row>
    <row r="13" spans="1:13">
      <c r="A13" s="28">
        <v>76963</v>
      </c>
      <c r="B13" s="28" t="s">
        <v>10</v>
      </c>
      <c r="C13" s="28" t="s">
        <v>488</v>
      </c>
      <c r="D13" s="22" t="s">
        <v>2226</v>
      </c>
      <c r="E13" s="8" t="str">
        <f>HYPERLINK("http://stat100.ameba.jp/tnk47/ratio20/illustrations/card/ill_76963_pavariaojo03.jpg", "■")</f>
        <v>■</v>
      </c>
      <c r="F13" s="1" t="s">
        <v>1225</v>
      </c>
      <c r="I13" s="1">
        <v>22</v>
      </c>
      <c r="J13" s="1">
        <v>106100</v>
      </c>
      <c r="K13" s="1">
        <v>59700</v>
      </c>
      <c r="L13" s="1" t="s">
        <v>1226</v>
      </c>
      <c r="M13" s="1" t="s">
        <v>1227</v>
      </c>
    </row>
    <row r="14" spans="1:13">
      <c r="A14" s="28">
        <v>78103</v>
      </c>
      <c r="B14" s="28" t="s">
        <v>10</v>
      </c>
      <c r="C14" s="28" t="s">
        <v>74</v>
      </c>
      <c r="D14" s="22" t="s">
        <v>2227</v>
      </c>
      <c r="E14" s="8" t="str">
        <f>HYPERLINK("http://stat100.ameba.jp/tnk47/ratio20/illustrations/card/ill_78103_santaokokunaitomea03.jpg", "■")</f>
        <v>■</v>
      </c>
      <c r="F14" s="1" t="s">
        <v>1228</v>
      </c>
      <c r="I14" s="1">
        <v>22</v>
      </c>
      <c r="J14" s="1">
        <v>113198</v>
      </c>
      <c r="K14" s="1">
        <v>63710</v>
      </c>
      <c r="L14" s="1" t="s">
        <v>1229</v>
      </c>
      <c r="M14" s="1" t="s">
        <v>2003</v>
      </c>
    </row>
    <row r="15" spans="1:13">
      <c r="A15" s="28">
        <v>79833</v>
      </c>
      <c r="B15" s="28" t="s">
        <v>10</v>
      </c>
      <c r="C15" s="28" t="s">
        <v>169</v>
      </c>
      <c r="D15" s="22" t="s">
        <v>2228</v>
      </c>
      <c r="E15" s="8" t="str">
        <f>HYPERLINK("http://stat100.ameba.jp/tnk47/ratio20/illustrations/card/ill_79833_jiyunomegamimariannu03.jpg", "■")</f>
        <v>■</v>
      </c>
      <c r="F15" s="1" t="s">
        <v>1230</v>
      </c>
      <c r="G15" s="1" t="s">
        <v>1166</v>
      </c>
      <c r="I15" s="1">
        <v>22</v>
      </c>
      <c r="J15" s="1">
        <v>90918</v>
      </c>
      <c r="K15" s="1">
        <v>97790</v>
      </c>
      <c r="L15" s="1" t="s">
        <v>1231</v>
      </c>
      <c r="M15" s="1" t="s">
        <v>556</v>
      </c>
    </row>
    <row r="16" spans="1:13">
      <c r="A16" s="28">
        <v>83673</v>
      </c>
      <c r="B16" s="28" t="s">
        <v>1254</v>
      </c>
      <c r="C16" s="28" t="s">
        <v>123</v>
      </c>
      <c r="D16" s="22" t="s">
        <v>2229</v>
      </c>
      <c r="E16" s="8" t="str">
        <f>HYPERLINK("https://stat100.ameba.jp/tnk47/ratio20/illustrations/card/ill_83673_erementara03.jpg", "■")</f>
        <v>■</v>
      </c>
      <c r="F16" s="1" t="s">
        <v>1255</v>
      </c>
      <c r="I16" s="1">
        <v>22</v>
      </c>
      <c r="J16" s="1">
        <v>62000</v>
      </c>
      <c r="K16" s="1">
        <v>110186</v>
      </c>
      <c r="L16" s="1" t="s">
        <v>1256</v>
      </c>
      <c r="M16" s="1" t="s">
        <v>915</v>
      </c>
    </row>
    <row r="17" spans="1:13">
      <c r="A17" s="28">
        <v>75193</v>
      </c>
      <c r="B17" s="28" t="s">
        <v>1232</v>
      </c>
      <c r="C17" s="28" t="s">
        <v>1233</v>
      </c>
      <c r="D17" s="22" t="s">
        <v>2230</v>
      </c>
      <c r="E17" s="8" t="str">
        <f>HYPERLINK("http://stat100.ameba.jp/tnk47/ratio20/illustrations/card/ill_75193_rabanommyonojiomansa03.jpg", "■")</f>
        <v>■</v>
      </c>
      <c r="F17" s="1" t="s">
        <v>1234</v>
      </c>
      <c r="G17" s="1" t="s">
        <v>1204</v>
      </c>
      <c r="I17" s="1">
        <v>22</v>
      </c>
      <c r="J17" s="1">
        <v>84560</v>
      </c>
      <c r="K17" s="1">
        <v>90934</v>
      </c>
      <c r="L17" s="1" t="s">
        <v>1235</v>
      </c>
      <c r="M17" s="1" t="s">
        <v>1236</v>
      </c>
    </row>
    <row r="18" spans="1:13">
      <c r="A18" s="28">
        <v>75213</v>
      </c>
      <c r="B18" s="28" t="s">
        <v>14</v>
      </c>
      <c r="C18" s="28" t="s">
        <v>191</v>
      </c>
      <c r="D18" s="22" t="s">
        <v>2231</v>
      </c>
      <c r="E18" s="8" t="str">
        <f>HYPERLINK("http://stat100.ameba.jp/tnk47/ratio20/illustrations/card/ill_75213_rengokunoshishapuratea03.jpg", "■")</f>
        <v>■</v>
      </c>
      <c r="F18" s="1" t="s">
        <v>1237</v>
      </c>
      <c r="G18" s="1" t="s">
        <v>1072</v>
      </c>
      <c r="I18" s="1">
        <v>23</v>
      </c>
      <c r="J18" s="1">
        <v>88625</v>
      </c>
      <c r="K18" s="1">
        <v>95322</v>
      </c>
      <c r="L18" s="1" t="s">
        <v>1238</v>
      </c>
      <c r="M18" s="1" t="s">
        <v>1706</v>
      </c>
    </row>
    <row r="19" spans="1:13">
      <c r="A19" s="28">
        <v>76123</v>
      </c>
      <c r="B19" s="28" t="s">
        <v>1239</v>
      </c>
      <c r="C19" s="28" t="s">
        <v>123</v>
      </c>
      <c r="D19" s="22" t="s">
        <v>2232</v>
      </c>
      <c r="E19" s="8" t="str">
        <f>HYPERLINK("http://stat100.ameba.jp/tnk47/ratio20/illustrations/card/ill_76123_hoshiyominotemmongakusha03.jpg", "■")</f>
        <v>■</v>
      </c>
      <c r="F19" s="1" t="s">
        <v>1240</v>
      </c>
      <c r="I19" s="1">
        <v>22</v>
      </c>
      <c r="J19" s="1">
        <v>161516</v>
      </c>
      <c r="K19" s="1">
        <v>90870</v>
      </c>
      <c r="L19" s="1" t="s">
        <v>1241</v>
      </c>
      <c r="M19" s="1" t="s">
        <v>2004</v>
      </c>
    </row>
    <row r="20" spans="1:13">
      <c r="A20" s="28">
        <v>77743</v>
      </c>
      <c r="B20" s="28" t="s">
        <v>1232</v>
      </c>
      <c r="C20" s="28" t="s">
        <v>1242</v>
      </c>
      <c r="D20" s="22" t="s">
        <v>2233</v>
      </c>
      <c r="E20" s="8" t="str">
        <f>HYPERLINK("http://stat100.ameba.jp/tnk47/ratio20/illustrations/card/ill_77743_kaerude03.jpg", "■")</f>
        <v>■</v>
      </c>
      <c r="F20" s="1" t="s">
        <v>1243</v>
      </c>
      <c r="G20" s="1" t="s">
        <v>1259</v>
      </c>
      <c r="I20" s="1">
        <v>22</v>
      </c>
      <c r="J20" s="1">
        <v>69648</v>
      </c>
      <c r="K20" s="1">
        <v>123760</v>
      </c>
      <c r="L20" s="1" t="s">
        <v>1244</v>
      </c>
      <c r="M20" s="1" t="s">
        <v>1245</v>
      </c>
    </row>
    <row r="21" spans="1:13">
      <c r="A21" s="28">
        <v>77753</v>
      </c>
      <c r="B21" s="28" t="s">
        <v>1239</v>
      </c>
      <c r="C21" s="28" t="s">
        <v>59</v>
      </c>
      <c r="D21" s="22" t="s">
        <v>2234</v>
      </c>
      <c r="E21" s="8" t="str">
        <f>HYPERLINK("http://stat100.ameba.jp/tnk47/ratio20/illustrations/card/ill_77753_sekiennotorisu03.jpg", "■")</f>
        <v>■</v>
      </c>
      <c r="F21" s="1" t="s">
        <v>1246</v>
      </c>
      <c r="I21" s="1">
        <v>22</v>
      </c>
      <c r="J21" s="1">
        <v>161516</v>
      </c>
      <c r="K21" s="1">
        <v>90870</v>
      </c>
      <c r="L21" s="1" t="s">
        <v>1247</v>
      </c>
      <c r="M21" s="1" t="s">
        <v>606</v>
      </c>
    </row>
    <row r="22" spans="1:13">
      <c r="A22" s="28">
        <v>78113</v>
      </c>
      <c r="B22" s="28" t="s">
        <v>14</v>
      </c>
      <c r="C22" s="28" t="s">
        <v>67</v>
      </c>
      <c r="D22" s="22" t="s">
        <v>2235</v>
      </c>
      <c r="E22" s="8" t="str">
        <f>HYPERLINK("http://stat100.ameba.jp/tnk47/ratio20/illustrations/card/ill_78113_santaokokusantakuin03.jpg", "■")</f>
        <v>■</v>
      </c>
      <c r="F22" s="1" t="s">
        <v>1248</v>
      </c>
      <c r="I22" s="1">
        <v>22</v>
      </c>
      <c r="J22" s="1">
        <v>84560</v>
      </c>
      <c r="K22" s="1">
        <v>90934</v>
      </c>
      <c r="L22" s="1" t="s">
        <v>1249</v>
      </c>
      <c r="M22" s="1" t="s">
        <v>2005</v>
      </c>
    </row>
    <row r="23" spans="1:13">
      <c r="A23" s="28">
        <v>79823</v>
      </c>
      <c r="B23" s="28" t="s">
        <v>14</v>
      </c>
      <c r="C23" s="28" t="s">
        <v>1250</v>
      </c>
      <c r="D23" s="22" t="s">
        <v>2236</v>
      </c>
      <c r="E23" s="8" t="str">
        <f>HYPERLINK("http://stat100.ameba.jp/tnk47/ratio20/illustrations/card/ill_79823_agehamishieru03.jpg", "■")</f>
        <v>■</v>
      </c>
      <c r="F23" s="1" t="s">
        <v>1251</v>
      </c>
      <c r="I23" s="1">
        <v>22</v>
      </c>
      <c r="J23" s="1">
        <v>90870</v>
      </c>
      <c r="K23" s="1">
        <v>161516</v>
      </c>
      <c r="L23" s="1" t="s">
        <v>1252</v>
      </c>
      <c r="M23" s="1" t="s">
        <v>1253</v>
      </c>
    </row>
    <row r="24" spans="1:13">
      <c r="A24" s="28">
        <v>83683</v>
      </c>
      <c r="B24" s="28" t="s">
        <v>14</v>
      </c>
      <c r="C24" s="28" t="s">
        <v>1175</v>
      </c>
      <c r="D24" s="22" t="s">
        <v>2237</v>
      </c>
      <c r="E24" s="8" t="str">
        <f>HYPERLINK("https://stat100.ameba.jp/tnk47/ratio20/illustrations/card/ill_83683_gura03.jpg", "■")</f>
        <v>■</v>
      </c>
      <c r="F24" s="1" t="s">
        <v>1257</v>
      </c>
      <c r="I24" s="1">
        <v>22</v>
      </c>
      <c r="J24" s="1">
        <v>128320</v>
      </c>
      <c r="K24" s="1">
        <v>72186</v>
      </c>
      <c r="L24" s="1" t="s">
        <v>1258</v>
      </c>
      <c r="M24" s="1" t="s">
        <v>923</v>
      </c>
    </row>
    <row r="25" spans="1:13">
      <c r="E25" s="15"/>
    </row>
    <row r="26" spans="1:13">
      <c r="E26" s="14"/>
    </row>
    <row r="27" spans="1:13">
      <c r="E27" s="14"/>
    </row>
    <row r="28" spans="1:13">
      <c r="E28" s="15"/>
    </row>
    <row r="29" spans="1:13">
      <c r="E29" s="15"/>
    </row>
    <row r="30" spans="1:13">
      <c r="E30" s="15"/>
    </row>
    <row r="31" spans="1:13">
      <c r="E31" s="14"/>
    </row>
    <row r="32" spans="1:13">
      <c r="E32" s="15"/>
    </row>
    <row r="33" spans="5:5">
      <c r="E33" s="15"/>
    </row>
    <row r="34" spans="5:5">
      <c r="E34" s="14"/>
    </row>
    <row r="35" spans="5:5">
      <c r="E35" s="14"/>
    </row>
    <row r="36" spans="5:5">
      <c r="E36" s="15"/>
    </row>
    <row r="37" spans="5:5">
      <c r="E37" s="15"/>
    </row>
    <row r="38" spans="5:5">
      <c r="E38" s="14"/>
    </row>
    <row r="39" spans="5:5">
      <c r="E39" s="15"/>
    </row>
    <row r="40" spans="5:5">
      <c r="E40" s="15"/>
    </row>
    <row r="41" spans="5:5">
      <c r="E41" s="14"/>
    </row>
    <row r="42" spans="5:5">
      <c r="E42" s="15"/>
    </row>
    <row r="43" spans="5:5">
      <c r="E43" s="15"/>
    </row>
    <row r="44" spans="5:5">
      <c r="E44" s="14"/>
    </row>
    <row r="45" spans="5:5">
      <c r="E45" s="15"/>
    </row>
    <row r="46" spans="5:5">
      <c r="E46" s="15"/>
    </row>
    <row r="47" spans="5:5">
      <c r="E47" s="14"/>
    </row>
    <row r="48" spans="5:5">
      <c r="E48" s="15"/>
    </row>
    <row r="49" spans="5:5">
      <c r="E49" s="15"/>
    </row>
    <row r="50" spans="5:5">
      <c r="E50" s="15"/>
    </row>
    <row r="51" spans="5:5">
      <c r="E51" s="15"/>
    </row>
    <row r="52" spans="5:5">
      <c r="E52" s="15"/>
    </row>
    <row r="53" spans="5:5">
      <c r="E53" s="14"/>
    </row>
    <row r="54" spans="5:5">
      <c r="E54" s="15"/>
    </row>
    <row r="55" spans="5:5">
      <c r="E55" s="15"/>
    </row>
  </sheetData>
  <phoneticPr fontId="3"/>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E1BE3F-6B08-4A61-B070-CA4A0401E005}">
  <dimension ref="A1:N217"/>
  <sheetViews>
    <sheetView zoomScale="55" zoomScaleNormal="55" workbookViewId="0">
      <pane ySplit="1" topLeftCell="A2" activePane="bottomLeft" state="frozen"/>
      <selection pane="bottomLeft"/>
    </sheetView>
  </sheetViews>
  <sheetFormatPr defaultColWidth="8.9140625" defaultRowHeight="18"/>
  <cols>
    <col min="1" max="1" width="6.33203125" style="2" customWidth="1"/>
    <col min="2" max="2" width="10.4140625" style="2" customWidth="1"/>
    <col min="3" max="3" width="5.6640625" style="2" customWidth="1"/>
    <col min="4" max="4" width="25.75" style="2" customWidth="1"/>
    <col min="5" max="5" width="3.9140625" style="20" customWidth="1"/>
    <col min="6" max="6" width="29.08203125" style="2" hidden="1" customWidth="1"/>
    <col min="7" max="8" width="20.75" style="2" hidden="1" customWidth="1"/>
    <col min="9" max="9" width="4.9140625" style="2" customWidth="1"/>
    <col min="10" max="11" width="7.33203125" style="2" customWidth="1"/>
    <col min="12" max="12" width="12.25" style="2" hidden="1" customWidth="1"/>
    <col min="13" max="13" width="65.75" style="2" customWidth="1"/>
    <col min="14" max="14" width="14.33203125" style="2" customWidth="1"/>
    <col min="15" max="16384" width="8.9140625" style="2"/>
  </cols>
  <sheetData>
    <row r="1" spans="1:14">
      <c r="A1" s="13" t="s">
        <v>583</v>
      </c>
      <c r="B1" s="13" t="s">
        <v>0</v>
      </c>
      <c r="C1" s="13" t="s">
        <v>1</v>
      </c>
      <c r="D1" s="13" t="s">
        <v>2</v>
      </c>
      <c r="E1" s="12" t="s">
        <v>2126</v>
      </c>
      <c r="F1" s="13" t="s">
        <v>637</v>
      </c>
      <c r="G1" s="13" t="s">
        <v>1122</v>
      </c>
      <c r="H1" s="13" t="s">
        <v>1040</v>
      </c>
      <c r="I1" s="12" t="s">
        <v>114</v>
      </c>
      <c r="J1" s="12" t="s">
        <v>657</v>
      </c>
      <c r="K1" s="12" t="s">
        <v>658</v>
      </c>
      <c r="L1" s="12" t="s">
        <v>4</v>
      </c>
      <c r="M1" s="12" t="s">
        <v>2803</v>
      </c>
      <c r="N1" s="12" t="s">
        <v>1951</v>
      </c>
    </row>
    <row r="2" spans="1:14">
      <c r="C2" s="24"/>
      <c r="D2" s="1"/>
      <c r="F2" s="1"/>
      <c r="G2" s="17"/>
      <c r="H2" s="17"/>
      <c r="L2" s="1"/>
      <c r="M2" s="1"/>
    </row>
    <row r="3" spans="1:14">
      <c r="A3" s="2" t="s">
        <v>2751</v>
      </c>
      <c r="C3" s="24"/>
      <c r="D3" s="24"/>
      <c r="E3" s="24"/>
      <c r="F3" s="24"/>
      <c r="G3" s="17"/>
      <c r="H3" s="17"/>
      <c r="L3" s="24"/>
      <c r="M3" s="24"/>
    </row>
    <row r="4" spans="1:14">
      <c r="A4" s="2" t="s">
        <v>2752</v>
      </c>
      <c r="C4" s="32"/>
      <c r="D4" s="32"/>
      <c r="E4" s="32"/>
      <c r="F4" s="32"/>
      <c r="G4" s="17"/>
      <c r="H4" s="17"/>
      <c r="L4" s="32"/>
      <c r="M4" s="32"/>
    </row>
    <row r="5" spans="1:14">
      <c r="C5" s="58"/>
      <c r="D5" s="58"/>
      <c r="E5" s="58"/>
      <c r="F5" s="58"/>
      <c r="G5" s="17"/>
      <c r="H5" s="17"/>
      <c r="L5" s="58"/>
      <c r="M5" s="58"/>
    </row>
    <row r="6" spans="1:14">
      <c r="A6" s="50">
        <v>64893</v>
      </c>
      <c r="B6" s="50" t="s">
        <v>148</v>
      </c>
      <c r="C6" s="50" t="s">
        <v>59</v>
      </c>
      <c r="D6" s="26" t="s">
        <v>3163</v>
      </c>
      <c r="E6" s="8" t="str">
        <f>HYPERLINK("https://stat100.ameba.jp/tnk47/ratio20/illustrations/card/ill_64893_yukataonamihime03.jpg", "■")</f>
        <v>■</v>
      </c>
      <c r="F6" s="50" t="s">
        <v>2846</v>
      </c>
      <c r="G6" s="17" t="s">
        <v>1131</v>
      </c>
      <c r="H6" s="17"/>
      <c r="I6" s="50">
        <v>25</v>
      </c>
      <c r="J6" s="50">
        <v>148619</v>
      </c>
      <c r="K6" s="50">
        <v>138186</v>
      </c>
      <c r="L6" s="50" t="s">
        <v>2847</v>
      </c>
      <c r="M6" s="50" t="s">
        <v>2848</v>
      </c>
    </row>
    <row r="7" spans="1:14" s="1" customFormat="1">
      <c r="A7" s="24">
        <v>75653</v>
      </c>
      <c r="B7" s="24" t="s">
        <v>148</v>
      </c>
      <c r="C7" s="24" t="s">
        <v>59</v>
      </c>
      <c r="D7" s="22" t="s">
        <v>2487</v>
      </c>
      <c r="E7" s="8" t="str">
        <f>HYPERLINK("https://stat100.ameba.jp/tnk47/ratio20/illustrations/card/ill_75653_kitanobuchika03.jpg", "■")</f>
        <v>■</v>
      </c>
      <c r="F7" s="1" t="s">
        <v>1275</v>
      </c>
      <c r="I7" s="24">
        <v>25</v>
      </c>
      <c r="J7" s="24">
        <v>138186</v>
      </c>
      <c r="K7" s="24">
        <v>148619</v>
      </c>
      <c r="L7" s="1" t="s">
        <v>1698</v>
      </c>
      <c r="M7" s="1" t="s">
        <v>823</v>
      </c>
    </row>
    <row r="8" spans="1:14" s="1" customFormat="1">
      <c r="A8" s="24">
        <v>79313</v>
      </c>
      <c r="B8" s="24" t="s">
        <v>148</v>
      </c>
      <c r="C8" s="24" t="s">
        <v>59</v>
      </c>
      <c r="D8" s="22" t="s">
        <v>2489</v>
      </c>
      <c r="E8" s="8" t="str">
        <f>HYPERLINK("https://stat100.ameba.jp/tnk47/ratio20/illustrations/card/ill_79313_hommeichokodatemasamune03.jpg", "■")</f>
        <v>■</v>
      </c>
      <c r="F8" s="1" t="s">
        <v>1276</v>
      </c>
      <c r="G8" s="1" t="s">
        <v>1277</v>
      </c>
      <c r="H8" s="1" t="s">
        <v>1278</v>
      </c>
      <c r="I8" s="24">
        <v>25</v>
      </c>
      <c r="J8" s="24">
        <v>138186</v>
      </c>
      <c r="K8" s="24">
        <v>148619</v>
      </c>
      <c r="L8" s="1" t="s">
        <v>1699</v>
      </c>
      <c r="M8" s="1" t="s">
        <v>823</v>
      </c>
    </row>
    <row r="9" spans="1:14" s="1" customFormat="1">
      <c r="A9" s="24">
        <v>68723</v>
      </c>
      <c r="B9" s="24" t="s">
        <v>148</v>
      </c>
      <c r="C9" s="24" t="s">
        <v>17</v>
      </c>
      <c r="D9" s="22" t="s">
        <v>2151</v>
      </c>
      <c r="E9" s="8" t="str">
        <f>HYPERLINK("https://stat100.ameba.jp/tnk47/ratio20/illustrations/card/ill_68723_gantanfukuhime03.jpg", "■")</f>
        <v>■</v>
      </c>
      <c r="F9" s="1" t="s">
        <v>1279</v>
      </c>
      <c r="G9" s="1" t="s">
        <v>1166</v>
      </c>
      <c r="H9" s="1" t="s">
        <v>1280</v>
      </c>
      <c r="I9" s="1">
        <v>25</v>
      </c>
      <c r="J9" s="1">
        <v>90759</v>
      </c>
      <c r="K9" s="1">
        <v>97651</v>
      </c>
      <c r="L9" s="1" t="s">
        <v>1700</v>
      </c>
      <c r="M9" s="1" t="s">
        <v>798</v>
      </c>
    </row>
    <row r="10" spans="1:14" s="1" customFormat="1">
      <c r="A10" s="24">
        <v>71343</v>
      </c>
      <c r="B10" s="24" t="s">
        <v>148</v>
      </c>
      <c r="C10" s="24" t="s">
        <v>17</v>
      </c>
      <c r="D10" s="22" t="s">
        <v>2152</v>
      </c>
      <c r="E10" s="8" t="str">
        <f>HYPERLINK("https://stat100.ameba.jp/tnk47/ratio20/illustrations/card/ill_71343_ohanamimatehime03.jpg", "■")</f>
        <v>■</v>
      </c>
      <c r="F10" s="1" t="s">
        <v>1281</v>
      </c>
      <c r="G10" s="1" t="s">
        <v>1282</v>
      </c>
      <c r="I10" s="1">
        <v>25</v>
      </c>
      <c r="J10" s="1">
        <v>90759</v>
      </c>
      <c r="K10" s="1">
        <v>97651</v>
      </c>
      <c r="L10" s="1" t="s">
        <v>1701</v>
      </c>
      <c r="M10" s="1" t="s">
        <v>2007</v>
      </c>
    </row>
    <row r="11" spans="1:14" s="1" customFormat="1">
      <c r="A11" s="24">
        <v>85863</v>
      </c>
      <c r="B11" s="24" t="s">
        <v>148</v>
      </c>
      <c r="C11" s="24" t="s">
        <v>17</v>
      </c>
      <c r="D11" s="22" t="s">
        <v>2153</v>
      </c>
      <c r="E11" s="8" t="str">
        <f>HYPERLINK("https://stat100.ameba.jp/tnk47/ratio20/illustrations/card/ill_85863_omochaawariteia03.jpg", "■")</f>
        <v>■</v>
      </c>
      <c r="F11" s="1" t="s">
        <v>1283</v>
      </c>
      <c r="G11" s="1" t="s">
        <v>1284</v>
      </c>
      <c r="I11" s="1">
        <v>25</v>
      </c>
      <c r="J11" s="1">
        <v>67842</v>
      </c>
      <c r="K11" s="1">
        <v>120570</v>
      </c>
      <c r="L11" s="1" t="s">
        <v>1702</v>
      </c>
      <c r="M11" s="1" t="s">
        <v>1703</v>
      </c>
    </row>
    <row r="12" spans="1:14">
      <c r="A12" s="24">
        <v>62313</v>
      </c>
      <c r="B12" s="24" t="s">
        <v>148</v>
      </c>
      <c r="C12" s="24" t="s">
        <v>154</v>
      </c>
      <c r="D12" s="22" t="s">
        <v>2154</v>
      </c>
      <c r="E12" s="8" t="str">
        <f>HYPERLINK("https://stat100.ameba.jp/tnk47/ratio20/illustrations/card/ill_62313_mukadehime03.jpg", "■")</f>
        <v>■</v>
      </c>
      <c r="F12" s="1" t="s">
        <v>1285</v>
      </c>
      <c r="G12" s="1" t="s">
        <v>1286</v>
      </c>
      <c r="H12" s="1"/>
      <c r="I12" s="1">
        <v>26</v>
      </c>
      <c r="J12" s="1">
        <v>146392</v>
      </c>
      <c r="K12" s="1">
        <v>82390</v>
      </c>
      <c r="L12" s="1" t="s">
        <v>1981</v>
      </c>
      <c r="M12" s="1" t="s">
        <v>2008</v>
      </c>
    </row>
    <row r="13" spans="1:14">
      <c r="A13" s="24">
        <v>83903</v>
      </c>
      <c r="B13" s="24" t="s">
        <v>148</v>
      </c>
      <c r="C13" s="24" t="s">
        <v>1183</v>
      </c>
      <c r="D13" s="22" t="s">
        <v>2155</v>
      </c>
      <c r="E13" s="8" t="str">
        <f>HYPERLINK("https://stat100.ameba.jp/tnk47/ratio20/illustrations/card/ill_83903_manekinekotsurumyojin03.jpg", "■")</f>
        <v>■</v>
      </c>
      <c r="F13" s="1" t="s">
        <v>1287</v>
      </c>
      <c r="G13" s="1" t="s">
        <v>1288</v>
      </c>
      <c r="H13" s="1"/>
      <c r="I13" s="1">
        <v>25</v>
      </c>
      <c r="J13" s="1">
        <v>114092</v>
      </c>
      <c r="K13" s="1">
        <v>105890</v>
      </c>
      <c r="L13" s="1" t="s">
        <v>1704</v>
      </c>
      <c r="M13" s="1" t="s">
        <v>1705</v>
      </c>
    </row>
    <row r="14" spans="1:14">
      <c r="A14" s="24">
        <v>54433</v>
      </c>
      <c r="B14" s="24" t="s">
        <v>148</v>
      </c>
      <c r="C14" s="24" t="s">
        <v>191</v>
      </c>
      <c r="D14" s="22" t="s">
        <v>2488</v>
      </c>
      <c r="E14" s="8" t="str">
        <f>HYPERLINK("https://stat100.ameba.jp/tnk47/ratio20/illustrations/card/ill_54433_yonshunentsuraraonna03.jpg", "■")</f>
        <v>■</v>
      </c>
      <c r="F14" s="1" t="s">
        <v>1289</v>
      </c>
      <c r="G14" s="1"/>
      <c r="H14" s="1" t="s">
        <v>1290</v>
      </c>
      <c r="I14" s="1">
        <v>23</v>
      </c>
      <c r="J14" s="1">
        <v>88650</v>
      </c>
      <c r="K14" s="1">
        <v>82422</v>
      </c>
      <c r="L14" s="1" t="s">
        <v>1980</v>
      </c>
      <c r="M14" s="1" t="s">
        <v>2009</v>
      </c>
    </row>
    <row r="15" spans="1:14">
      <c r="A15" s="24">
        <v>86323</v>
      </c>
      <c r="B15" s="24" t="s">
        <v>148</v>
      </c>
      <c r="C15" s="24" t="s">
        <v>74</v>
      </c>
      <c r="D15" s="22" t="s">
        <v>2157</v>
      </c>
      <c r="E15" s="8" t="str">
        <f>HYPERLINK("https://stat100.ameba.jp/tnk47/ratio20/illustrations/card/ill_86323_hagoitataisemmatsukawahime03.jpg", "■")</f>
        <v>■</v>
      </c>
      <c r="F15" s="1" t="s">
        <v>1291</v>
      </c>
      <c r="G15" s="1" t="s">
        <v>1292</v>
      </c>
      <c r="H15" s="1"/>
      <c r="I15" s="1">
        <v>25</v>
      </c>
      <c r="J15" s="1">
        <v>148619</v>
      </c>
      <c r="K15" s="1">
        <v>138186</v>
      </c>
      <c r="L15" s="1" t="s">
        <v>1707</v>
      </c>
      <c r="M15" s="1" t="s">
        <v>2010</v>
      </c>
    </row>
    <row r="16" spans="1:14">
      <c r="A16" s="24">
        <v>59613</v>
      </c>
      <c r="B16" s="24" t="s">
        <v>148</v>
      </c>
      <c r="C16" s="24" t="s">
        <v>51</v>
      </c>
      <c r="D16" s="22" t="s">
        <v>2159</v>
      </c>
      <c r="E16" s="8" t="str">
        <f>HYPERLINK("https://stat100.ameba.jp/tnk47/ratio20/illustrations/card/ill_59613_oheyadaria03.jpg", "■")</f>
        <v>■</v>
      </c>
      <c r="F16" s="1" t="s">
        <v>1294</v>
      </c>
      <c r="G16" s="1"/>
      <c r="H16" s="1" t="s">
        <v>1295</v>
      </c>
      <c r="I16" s="1">
        <v>25</v>
      </c>
      <c r="J16" s="1">
        <v>106266</v>
      </c>
      <c r="K16" s="1">
        <v>98789</v>
      </c>
      <c r="L16" s="1" t="s">
        <v>1979</v>
      </c>
      <c r="M16" s="1" t="s">
        <v>2011</v>
      </c>
    </row>
    <row r="17" spans="1:13">
      <c r="A17" s="24">
        <v>61413</v>
      </c>
      <c r="B17" s="24" t="s">
        <v>148</v>
      </c>
      <c r="C17" s="24" t="s">
        <v>51</v>
      </c>
      <c r="D17" s="22" t="s">
        <v>2160</v>
      </c>
      <c r="E17" s="8" t="str">
        <f>HYPERLINK("https://stat100.ameba.jp/tnk47/ratio20/illustrations/card/ill_61413_toyako03.jpg", "■")</f>
        <v>■</v>
      </c>
      <c r="F17" s="1" t="s">
        <v>1293</v>
      </c>
      <c r="G17" s="1" t="s">
        <v>1072</v>
      </c>
      <c r="H17" s="1"/>
      <c r="I17" s="1">
        <v>25</v>
      </c>
      <c r="J17" s="1">
        <v>118917</v>
      </c>
      <c r="K17" s="1">
        <v>86140</v>
      </c>
      <c r="L17" s="1" t="s">
        <v>1708</v>
      </c>
      <c r="M17" s="1" t="s">
        <v>2012</v>
      </c>
    </row>
    <row r="18" spans="1:13">
      <c r="A18" s="24">
        <v>82473</v>
      </c>
      <c r="B18" s="24" t="s">
        <v>148</v>
      </c>
      <c r="C18" s="24" t="s">
        <v>51</v>
      </c>
      <c r="D18" s="22" t="s">
        <v>2161</v>
      </c>
      <c r="E18" s="8" t="str">
        <f>HYPERLINK("https://stat100.ameba.jp/tnk47/ratio20/illustrations/card/ill_82473_tanabataakitainukun03.jpg", "■")</f>
        <v>■</v>
      </c>
      <c r="F18" s="1" t="s">
        <v>1296</v>
      </c>
      <c r="G18" s="1"/>
      <c r="H18" s="1" t="s">
        <v>1297</v>
      </c>
      <c r="I18" s="1">
        <v>25</v>
      </c>
      <c r="J18" s="1">
        <v>138186</v>
      </c>
      <c r="K18" s="1">
        <v>148619</v>
      </c>
      <c r="L18" s="1" t="s">
        <v>1709</v>
      </c>
      <c r="M18" s="1" t="s">
        <v>2013</v>
      </c>
    </row>
    <row r="19" spans="1:13">
      <c r="A19" s="24">
        <v>85733</v>
      </c>
      <c r="B19" s="24" t="s">
        <v>148</v>
      </c>
      <c r="C19" s="6" t="s">
        <v>51</v>
      </c>
      <c r="D19" s="22" t="s">
        <v>2162</v>
      </c>
      <c r="E19" s="8" t="str">
        <f>HYPERLINK("https://stat100.ameba.jp/tnk47/ratio20/illustrations/card/ill_85733_hakkachan03.jpg", "■")</f>
        <v>■</v>
      </c>
      <c r="F19" s="6" t="s">
        <v>1298</v>
      </c>
      <c r="G19" s="1"/>
      <c r="H19" s="1" t="s">
        <v>1299</v>
      </c>
      <c r="I19" s="6">
        <v>25</v>
      </c>
      <c r="J19" s="6">
        <v>113890</v>
      </c>
      <c r="K19" s="6">
        <v>105890</v>
      </c>
      <c r="L19" s="6" t="s">
        <v>1710</v>
      </c>
      <c r="M19" s="6" t="s">
        <v>1740</v>
      </c>
    </row>
    <row r="20" spans="1:13">
      <c r="A20" s="24">
        <v>86833</v>
      </c>
      <c r="B20" s="24" t="s">
        <v>148</v>
      </c>
      <c r="C20" s="24" t="s">
        <v>51</v>
      </c>
      <c r="D20" s="22" t="s">
        <v>2163</v>
      </c>
      <c r="E20" s="8" t="str">
        <f>HYPERLINK("https://stat100.ameba.jp/tnk47/ratio20/illustrations/card/ill_86833_chokonohidosankochan03.jpg", "■")</f>
        <v>■</v>
      </c>
      <c r="F20" s="1" t="s">
        <v>1300</v>
      </c>
      <c r="G20" s="1"/>
      <c r="H20" s="1" t="s">
        <v>1301</v>
      </c>
      <c r="I20" s="1">
        <v>26</v>
      </c>
      <c r="J20" s="1">
        <v>98066</v>
      </c>
      <c r="K20" s="1">
        <v>105426</v>
      </c>
      <c r="L20" s="1" t="s">
        <v>1711</v>
      </c>
      <c r="M20" s="1" t="s">
        <v>1712</v>
      </c>
    </row>
    <row r="21" spans="1:13">
      <c r="A21" s="24">
        <v>51803</v>
      </c>
      <c r="B21" s="24" t="s">
        <v>148</v>
      </c>
      <c r="C21" s="24" t="s">
        <v>87</v>
      </c>
      <c r="D21" s="22" t="s">
        <v>2490</v>
      </c>
      <c r="E21" s="8" t="str">
        <f>HYPERLINK("https://stat100.ameba.jp/tnk47/ratio20/illustrations/card/ill_51803_jukifujiwaranokiyohira03.jpg", "■")</f>
        <v>■</v>
      </c>
      <c r="F21" s="1" t="s">
        <v>1304</v>
      </c>
      <c r="G21" s="1" t="s">
        <v>1142</v>
      </c>
      <c r="H21" s="1"/>
      <c r="I21" s="1">
        <v>24</v>
      </c>
      <c r="J21" s="1">
        <v>92504</v>
      </c>
      <c r="K21" s="1">
        <v>86006</v>
      </c>
      <c r="L21" s="1" t="s">
        <v>1713</v>
      </c>
      <c r="M21" s="1" t="s">
        <v>1714</v>
      </c>
    </row>
    <row r="22" spans="1:13">
      <c r="A22" s="24">
        <v>66643</v>
      </c>
      <c r="B22" s="24" t="s">
        <v>148</v>
      </c>
      <c r="C22" s="24" t="s">
        <v>87</v>
      </c>
      <c r="D22" s="22" t="s">
        <v>2165</v>
      </c>
      <c r="E22" s="8" t="str">
        <f>HYPERLINK("https://stat100.ameba.jp/tnk47/ratio20/illustrations/card/ill_66643_oryorisonobehideo03.jpg", "■")</f>
        <v>■</v>
      </c>
      <c r="F22" s="1" t="s">
        <v>1303</v>
      </c>
      <c r="G22" s="1" t="s">
        <v>1131</v>
      </c>
      <c r="H22" s="1"/>
      <c r="I22" s="1">
        <v>25</v>
      </c>
      <c r="J22" s="1">
        <v>97651</v>
      </c>
      <c r="K22" s="1">
        <v>90759</v>
      </c>
      <c r="L22" s="1" t="s">
        <v>1978</v>
      </c>
      <c r="M22" s="1" t="s">
        <v>131</v>
      </c>
    </row>
    <row r="23" spans="1:13">
      <c r="A23" s="6">
        <v>70663</v>
      </c>
      <c r="B23" s="24" t="s">
        <v>1266</v>
      </c>
      <c r="C23" s="24" t="s">
        <v>169</v>
      </c>
      <c r="D23" s="22" t="s">
        <v>2166</v>
      </c>
      <c r="E23" s="8" t="str">
        <f>HYPERLINK("https://stat100.ameba.jp/tnk47/ratio20/illustrations/card/ill_70663_shitsujikissanagasawarosetsu03.jpg", "■")</f>
        <v>■</v>
      </c>
      <c r="F23" s="1" t="s">
        <v>1307</v>
      </c>
      <c r="G23" s="1"/>
      <c r="H23" s="1" t="s">
        <v>3158</v>
      </c>
      <c r="I23" s="1">
        <v>25</v>
      </c>
      <c r="J23" s="1">
        <v>90759</v>
      </c>
      <c r="K23" s="1">
        <v>97651</v>
      </c>
      <c r="L23" s="1" t="s">
        <v>1716</v>
      </c>
      <c r="M23" s="1" t="s">
        <v>1856</v>
      </c>
    </row>
    <row r="24" spans="1:13">
      <c r="A24" s="24">
        <v>79643</v>
      </c>
      <c r="B24" s="24" t="s">
        <v>148</v>
      </c>
      <c r="C24" s="24" t="s">
        <v>87</v>
      </c>
      <c r="D24" s="22" t="s">
        <v>2167</v>
      </c>
      <c r="E24" s="8" t="str">
        <f>HYPERLINK("https://stat100.ameba.jp/tnk47/ratio20/illustrations/card/ill_79643_hibikiwataruneirosonobehideo03.jpg", "■")</f>
        <v>■</v>
      </c>
      <c r="F24" s="1" t="s">
        <v>1305</v>
      </c>
      <c r="G24" s="1"/>
      <c r="H24" s="1" t="s">
        <v>1306</v>
      </c>
      <c r="I24" s="1">
        <v>25</v>
      </c>
      <c r="J24" s="1">
        <v>90759</v>
      </c>
      <c r="K24" s="1">
        <v>97651</v>
      </c>
      <c r="L24" s="1" t="s">
        <v>1715</v>
      </c>
      <c r="M24" s="1" t="s">
        <v>1856</v>
      </c>
    </row>
    <row r="25" spans="1:13">
      <c r="A25" s="6">
        <v>82903</v>
      </c>
      <c r="B25" s="24" t="s">
        <v>148</v>
      </c>
      <c r="C25" s="24" t="s">
        <v>1179</v>
      </c>
      <c r="D25" s="22" t="s">
        <v>2491</v>
      </c>
      <c r="E25" s="8" t="str">
        <f>HYPERLINK("https://stat100.ameba.jp/tnk47/ratio20/illustrations/card/ill_82903_yukatamatsurisonobehideo03.jpg", "■")</f>
        <v>■</v>
      </c>
      <c r="F25" s="1" t="s">
        <v>1308</v>
      </c>
      <c r="G25" s="1" t="s">
        <v>1309</v>
      </c>
      <c r="H25" s="1"/>
      <c r="I25" s="1">
        <v>24</v>
      </c>
      <c r="J25" s="1">
        <v>93746</v>
      </c>
      <c r="K25" s="1">
        <v>87128</v>
      </c>
      <c r="L25" s="1" t="s">
        <v>1717</v>
      </c>
      <c r="M25" s="1" t="s">
        <v>1718</v>
      </c>
    </row>
    <row r="26" spans="1:13">
      <c r="A26" s="24">
        <v>76243</v>
      </c>
      <c r="B26" s="24" t="s">
        <v>148</v>
      </c>
      <c r="C26" s="24" t="s">
        <v>149</v>
      </c>
      <c r="D26" s="22" t="s">
        <v>2493</v>
      </c>
      <c r="E26" s="8" t="str">
        <f>HYPERLINK("https://stat100.ameba.jp/tnk47/ratio20/illustrations/card/ill_76243_haroinkaraguchinihonshuchan03.jpg", "■")</f>
        <v>■</v>
      </c>
      <c r="F26" s="1" t="s">
        <v>1311</v>
      </c>
      <c r="G26" s="1" t="s">
        <v>1312</v>
      </c>
      <c r="H26" s="1"/>
      <c r="I26" s="24">
        <v>25</v>
      </c>
      <c r="J26" s="24">
        <v>118063</v>
      </c>
      <c r="K26" s="24">
        <v>109786</v>
      </c>
      <c r="L26" s="1" t="s">
        <v>1720</v>
      </c>
      <c r="M26" s="1" t="s">
        <v>1721</v>
      </c>
    </row>
    <row r="27" spans="1:13">
      <c r="A27" s="24">
        <v>54773</v>
      </c>
      <c r="B27" s="24" t="s">
        <v>148</v>
      </c>
      <c r="C27" s="24" t="s">
        <v>67</v>
      </c>
      <c r="D27" s="22" t="s">
        <v>2168</v>
      </c>
      <c r="E27" s="8" t="str">
        <f>HYPERLINK("https://stat100.ameba.jp/tnk47/ratio20/illustrations/card/ill_54773_repunkamui03.jpg", "■")</f>
        <v>■</v>
      </c>
      <c r="F27" s="1" t="s">
        <v>1948</v>
      </c>
      <c r="G27" s="1" t="s">
        <v>1131</v>
      </c>
      <c r="H27" s="1"/>
      <c r="I27" s="1">
        <v>26</v>
      </c>
      <c r="J27" s="1">
        <v>81098</v>
      </c>
      <c r="K27" s="1">
        <v>112808</v>
      </c>
      <c r="L27" s="1" t="s">
        <v>1976</v>
      </c>
      <c r="M27" s="1" t="s">
        <v>2014</v>
      </c>
    </row>
    <row r="28" spans="1:13">
      <c r="A28" s="24">
        <v>66793</v>
      </c>
      <c r="B28" s="24" t="s">
        <v>148</v>
      </c>
      <c r="C28" s="24" t="s">
        <v>67</v>
      </c>
      <c r="D28" s="22" t="s">
        <v>2494</v>
      </c>
      <c r="E28" s="8" t="str">
        <f>HYPERLINK("https://stat100.ameba.jp/tnk47/ratio20/illustrations/card/ill_66793_mitsuishinokami03.jpg", "■")</f>
        <v>■</v>
      </c>
      <c r="F28" s="1" t="s">
        <v>1314</v>
      </c>
      <c r="G28" s="1" t="s">
        <v>1131</v>
      </c>
      <c r="H28" s="1"/>
      <c r="I28" s="24">
        <v>24</v>
      </c>
      <c r="J28" s="6">
        <v>68010</v>
      </c>
      <c r="K28" s="6">
        <v>120892</v>
      </c>
      <c r="L28" s="1" t="s">
        <v>1722</v>
      </c>
      <c r="M28" s="1" t="s">
        <v>922</v>
      </c>
    </row>
    <row r="29" spans="1:13">
      <c r="A29" s="24">
        <v>69133</v>
      </c>
      <c r="B29" s="24" t="s">
        <v>148</v>
      </c>
      <c r="C29" s="24" t="s">
        <v>67</v>
      </c>
      <c r="D29" s="22" t="s">
        <v>2170</v>
      </c>
      <c r="E29" s="8" t="str">
        <f>HYPERLINK("https://stat100.ameba.jp/tnk47/ratio20/illustrations/card/ill_69133_payokakamui03.jpg", "■")</f>
        <v>■</v>
      </c>
      <c r="F29" s="1" t="s">
        <v>1316</v>
      </c>
      <c r="G29" s="1" t="s">
        <v>1317</v>
      </c>
      <c r="H29" s="1"/>
      <c r="I29" s="1">
        <v>24</v>
      </c>
      <c r="J29" s="1">
        <v>120892</v>
      </c>
      <c r="K29" s="1">
        <v>68010</v>
      </c>
      <c r="L29" s="1" t="s">
        <v>1723</v>
      </c>
      <c r="M29" s="1" t="s">
        <v>1724</v>
      </c>
    </row>
    <row r="30" spans="1:13">
      <c r="A30" s="24">
        <v>69883</v>
      </c>
      <c r="B30" s="24" t="s">
        <v>148</v>
      </c>
      <c r="C30" s="24" t="s">
        <v>67</v>
      </c>
      <c r="D30" s="22" t="s">
        <v>2171</v>
      </c>
      <c r="E30" s="8" t="str">
        <f>HYPERLINK("https://stat100.ameba.jp/tnk47/ratio20/illustrations/card/ill_69883_kyupiddotominushihime03.jpg", "■")</f>
        <v>■</v>
      </c>
      <c r="F30" s="1" t="s">
        <v>1313</v>
      </c>
      <c r="G30" s="1" t="s">
        <v>1166</v>
      </c>
      <c r="H30" s="1"/>
      <c r="I30" s="1">
        <v>25</v>
      </c>
      <c r="J30" s="1">
        <v>94802</v>
      </c>
      <c r="K30" s="1">
        <v>101971</v>
      </c>
      <c r="L30" s="1" t="s">
        <v>1974</v>
      </c>
      <c r="M30" s="1" t="s">
        <v>1975</v>
      </c>
    </row>
    <row r="31" spans="1:13">
      <c r="A31" s="55">
        <v>84513</v>
      </c>
      <c r="B31" s="55" t="s">
        <v>148</v>
      </c>
      <c r="C31" s="55" t="s">
        <v>67</v>
      </c>
      <c r="D31" s="22" t="s">
        <v>2910</v>
      </c>
      <c r="E31" s="8" t="str">
        <f>HYPERLINK("https://stat100.ameba.jp/tnk47/ratio20/illustrations/card/ill_84513_haroinapefuchikamui03.jpg", "■")</f>
        <v>■</v>
      </c>
      <c r="F31" s="55" t="s">
        <v>2908</v>
      </c>
      <c r="G31" s="55" t="s">
        <v>1072</v>
      </c>
      <c r="H31" s="55"/>
      <c r="I31" s="55">
        <v>24</v>
      </c>
      <c r="J31" s="55">
        <v>120892</v>
      </c>
      <c r="K31" s="55">
        <v>68010</v>
      </c>
      <c r="L31" s="55" t="s">
        <v>2909</v>
      </c>
      <c r="M31" s="55" t="s">
        <v>928</v>
      </c>
    </row>
    <row r="32" spans="1:13">
      <c r="A32" s="24">
        <v>65653</v>
      </c>
      <c r="B32" s="24" t="s">
        <v>148</v>
      </c>
      <c r="C32" s="24" t="s">
        <v>26</v>
      </c>
      <c r="D32" s="22" t="s">
        <v>2495</v>
      </c>
      <c r="E32" s="8" t="str">
        <f>HYPERLINK("https://stat100.ameba.jp/tnk47/ratio20/illustrations/card/ill_65653_undokaitakamurachieko03.jpg", "■")</f>
        <v>■</v>
      </c>
      <c r="F32" s="1" t="s">
        <v>1318</v>
      </c>
      <c r="G32" s="1" t="s">
        <v>1319</v>
      </c>
      <c r="H32" s="24" t="s">
        <v>2609</v>
      </c>
      <c r="I32" s="24">
        <v>21</v>
      </c>
      <c r="J32" s="24">
        <v>85153</v>
      </c>
      <c r="K32" s="24">
        <v>79207</v>
      </c>
      <c r="L32" s="1" t="s">
        <v>1725</v>
      </c>
      <c r="M32" s="1" t="s">
        <v>818</v>
      </c>
    </row>
    <row r="33" spans="1:13">
      <c r="A33" s="24">
        <v>72303</v>
      </c>
      <c r="B33" s="24" t="s">
        <v>148</v>
      </c>
      <c r="C33" s="24" t="s">
        <v>26</v>
      </c>
      <c r="D33" s="22" t="s">
        <v>2172</v>
      </c>
      <c r="E33" s="8" t="str">
        <f>HYPERLINK("https://stat100.ameba.jp/tnk47/ratio20/illustrations/card/ill_72303_yamakawafutaba03.jpg", "■")</f>
        <v>■</v>
      </c>
      <c r="F33" s="1" t="s">
        <v>1320</v>
      </c>
      <c r="G33" s="1" t="s">
        <v>1321</v>
      </c>
      <c r="H33" s="1"/>
      <c r="I33" s="1">
        <v>25</v>
      </c>
      <c r="J33" s="1">
        <v>101373</v>
      </c>
      <c r="K33" s="1">
        <v>94295</v>
      </c>
      <c r="L33" s="1" t="s">
        <v>1977</v>
      </c>
      <c r="M33" s="1" t="s">
        <v>796</v>
      </c>
    </row>
    <row r="34" spans="1:13">
      <c r="A34" s="24"/>
      <c r="B34" s="24"/>
      <c r="C34" s="24"/>
      <c r="D34" s="1"/>
      <c r="F34" s="1"/>
      <c r="G34" s="1"/>
      <c r="H34" s="1"/>
      <c r="I34" s="1"/>
      <c r="J34" s="1"/>
      <c r="K34" s="1"/>
      <c r="L34" s="1"/>
      <c r="M34" s="1"/>
    </row>
    <row r="35" spans="1:13" s="1" customFormat="1">
      <c r="A35" s="24">
        <v>69953</v>
      </c>
      <c r="B35" s="24" t="s">
        <v>757</v>
      </c>
      <c r="C35" s="24" t="s">
        <v>489</v>
      </c>
      <c r="D35" s="22" t="s">
        <v>2496</v>
      </c>
      <c r="E35" s="8" t="str">
        <f>HYPERLINK("https://stat100.ameba.jp/tnk47/ratio20/illustrations/card/ill_69953_hyoketsunonikusutopatororu03.jpg", "■")</f>
        <v>■</v>
      </c>
      <c r="F35" s="1" t="s">
        <v>1322</v>
      </c>
      <c r="G35" s="1" t="s">
        <v>1284</v>
      </c>
      <c r="I35" s="1">
        <v>24</v>
      </c>
      <c r="J35" s="1">
        <v>78748</v>
      </c>
      <c r="K35" s="1">
        <v>139986</v>
      </c>
      <c r="L35" s="1" t="s">
        <v>1726</v>
      </c>
      <c r="M35" s="1" t="s">
        <v>1727</v>
      </c>
    </row>
    <row r="36" spans="1:13" s="1" customFormat="1">
      <c r="A36" s="24">
        <v>71693</v>
      </c>
      <c r="B36" s="24" t="s">
        <v>757</v>
      </c>
      <c r="C36" s="24" t="s">
        <v>59</v>
      </c>
      <c r="D36" s="22" t="s">
        <v>2497</v>
      </c>
      <c r="E36" s="8" t="str">
        <f>HYPERLINK("https://stat100.ameba.jp/tnk47/ratio20/illustrations/card/ill_71693_shokugyotaikenakaiteruko03.jpg", "■")</f>
        <v>■</v>
      </c>
      <c r="F36" s="1" t="s">
        <v>1323</v>
      </c>
      <c r="G36" s="1" t="s">
        <v>1324</v>
      </c>
      <c r="I36" s="24">
        <v>26</v>
      </c>
      <c r="J36" s="24">
        <v>143714</v>
      </c>
      <c r="K36" s="24">
        <v>154562</v>
      </c>
      <c r="L36" s="1" t="s">
        <v>1728</v>
      </c>
      <c r="M36" s="1" t="s">
        <v>823</v>
      </c>
    </row>
    <row r="37" spans="1:13" s="1" customFormat="1">
      <c r="A37" s="24">
        <v>78393</v>
      </c>
      <c r="B37" s="24" t="s">
        <v>303</v>
      </c>
      <c r="C37" s="24" t="s">
        <v>59</v>
      </c>
      <c r="D37" s="22" t="s">
        <v>2173</v>
      </c>
      <c r="E37" s="8" t="str">
        <f>HYPERLINK("https://stat100.ameba.jp/tnk47/ratio20/illustrations/card/ill_78393_nemmatsuosojichibaeijiro03.jpg", "■")</f>
        <v>■</v>
      </c>
      <c r="F37" s="1" t="s">
        <v>1325</v>
      </c>
      <c r="G37" s="1" t="s">
        <v>1073</v>
      </c>
      <c r="I37" s="1">
        <v>25</v>
      </c>
      <c r="J37" s="1">
        <v>148619</v>
      </c>
      <c r="K37" s="1">
        <v>138186</v>
      </c>
      <c r="L37" s="1" t="s">
        <v>1729</v>
      </c>
      <c r="M37" s="1" t="s">
        <v>606</v>
      </c>
    </row>
    <row r="38" spans="1:13" s="1" customFormat="1">
      <c r="A38" s="24">
        <v>61433</v>
      </c>
      <c r="B38" s="24" t="s">
        <v>757</v>
      </c>
      <c r="C38" s="24" t="s">
        <v>17</v>
      </c>
      <c r="D38" s="22" t="s">
        <v>2174</v>
      </c>
      <c r="E38" s="8" t="str">
        <f>HYPERLINK("https://stat100.ameba.jp/tnk47/ratio20/illustrations/card/ill_61433_isehime03.jpg", "■")</f>
        <v>■</v>
      </c>
      <c r="F38" s="1" t="s">
        <v>1326</v>
      </c>
      <c r="H38" s="1" t="s">
        <v>1327</v>
      </c>
      <c r="I38" s="1">
        <v>25</v>
      </c>
      <c r="J38" s="1">
        <v>109259</v>
      </c>
      <c r="K38" s="1">
        <v>79151</v>
      </c>
      <c r="L38" s="1" t="s">
        <v>1730</v>
      </c>
      <c r="M38" s="1" t="s">
        <v>1227</v>
      </c>
    </row>
    <row r="39" spans="1:13" s="1" customFormat="1">
      <c r="A39" s="24">
        <v>78633</v>
      </c>
      <c r="B39" s="24" t="s">
        <v>757</v>
      </c>
      <c r="C39" s="24" t="s">
        <v>17</v>
      </c>
      <c r="D39" s="22" t="s">
        <v>2498</v>
      </c>
      <c r="E39" s="8" t="str">
        <f>HYPERLINK("https://stat100.ameba.jp/tnk47/ratio20/illustrations/card/ill_78633_geishunyuramyoinni03.jpg", "■")</f>
        <v>■</v>
      </c>
      <c r="F39" s="1" t="s">
        <v>1328</v>
      </c>
      <c r="G39" s="1" t="s">
        <v>1166</v>
      </c>
      <c r="I39" s="24">
        <v>25</v>
      </c>
      <c r="J39" s="24">
        <v>90759</v>
      </c>
      <c r="K39" s="24">
        <v>97651</v>
      </c>
      <c r="L39" s="1" t="s">
        <v>1731</v>
      </c>
      <c r="M39" s="1" t="s">
        <v>798</v>
      </c>
    </row>
    <row r="40" spans="1:13" s="66" customFormat="1">
      <c r="A40" s="6">
        <v>85953</v>
      </c>
      <c r="B40" s="66" t="s">
        <v>757</v>
      </c>
      <c r="C40" s="66" t="s">
        <v>17</v>
      </c>
      <c r="D40" s="26" t="s">
        <v>3021</v>
      </c>
      <c r="E40" s="8" t="str">
        <f>HYPERLINK("https://stat100.ameba.jp/tnk47/ratio20/illustrations/card/ill_85953_toshikoshitakiyashahime03.jpg", "■")</f>
        <v>■</v>
      </c>
      <c r="F40" s="6" t="s">
        <v>3022</v>
      </c>
      <c r="G40" s="66" t="s">
        <v>3024</v>
      </c>
      <c r="I40" s="66">
        <v>25</v>
      </c>
      <c r="J40" s="6">
        <v>90759</v>
      </c>
      <c r="K40" s="6">
        <v>97651</v>
      </c>
      <c r="L40" s="6" t="s">
        <v>3023</v>
      </c>
      <c r="M40" s="6" t="s">
        <v>1703</v>
      </c>
    </row>
    <row r="41" spans="1:13" s="1" customFormat="1">
      <c r="A41" s="24">
        <v>63853</v>
      </c>
      <c r="B41" s="24" t="s">
        <v>757</v>
      </c>
      <c r="C41" s="24" t="s">
        <v>154</v>
      </c>
      <c r="D41" s="22" t="s">
        <v>2499</v>
      </c>
      <c r="E41" s="8" t="str">
        <f>HYPERLINK("https://stat100.ameba.jp/tnk47/ratio20/illustrations/card/ill_63853_daikokaijidainansosatomihakkenden03.jpg", "■")</f>
        <v>■</v>
      </c>
      <c r="F41" s="1" t="s">
        <v>1329</v>
      </c>
      <c r="G41" s="1" t="s">
        <v>1330</v>
      </c>
      <c r="H41" s="1" t="s">
        <v>1331</v>
      </c>
      <c r="I41" s="24">
        <v>25</v>
      </c>
      <c r="J41" s="24">
        <v>105890</v>
      </c>
      <c r="K41" s="24">
        <v>105890</v>
      </c>
      <c r="L41" s="1" t="s">
        <v>1732</v>
      </c>
      <c r="M41" s="1" t="s">
        <v>2015</v>
      </c>
    </row>
    <row r="42" spans="1:13">
      <c r="A42" s="24">
        <v>67523</v>
      </c>
      <c r="B42" s="24" t="s">
        <v>757</v>
      </c>
      <c r="C42" s="24" t="s">
        <v>44</v>
      </c>
      <c r="D42" s="22" t="s">
        <v>2175</v>
      </c>
      <c r="E42" s="8" t="str">
        <f>HYPERLINK("https://stat100.ameba.jp/tnk47/ratio20/illustrations/card/ill_67523_shirazuyawatanomori03.jpg", "■")</f>
        <v>■</v>
      </c>
      <c r="F42" s="1" t="s">
        <v>1332</v>
      </c>
      <c r="G42" s="1" t="s">
        <v>1324</v>
      </c>
      <c r="H42" s="1"/>
      <c r="I42" s="1">
        <v>26</v>
      </c>
      <c r="J42" s="1">
        <v>146392</v>
      </c>
      <c r="K42" s="1">
        <v>146392</v>
      </c>
      <c r="L42" s="1" t="s">
        <v>1733</v>
      </c>
      <c r="M42" s="1" t="s">
        <v>2016</v>
      </c>
    </row>
    <row r="43" spans="1:13">
      <c r="A43" s="24">
        <v>87093</v>
      </c>
      <c r="B43" s="24" t="s">
        <v>757</v>
      </c>
      <c r="C43" s="24" t="s">
        <v>154</v>
      </c>
      <c r="D43" s="22" t="s">
        <v>2177</v>
      </c>
      <c r="E43" s="8" t="str">
        <f>HYPERLINK("https://stat100.ameba.jp/tnk47/ratio20/illustrations/card/ill_87093_togijosesutasu03.jpg", "■")</f>
        <v>■</v>
      </c>
      <c r="F43" s="1" t="s">
        <v>1333</v>
      </c>
      <c r="G43" s="1" t="s">
        <v>1334</v>
      </c>
      <c r="H43" s="1"/>
      <c r="I43" s="1">
        <v>26</v>
      </c>
      <c r="J43" s="1">
        <v>118446</v>
      </c>
      <c r="K43" s="1">
        <v>110126</v>
      </c>
      <c r="L43" s="1" t="s">
        <v>1734</v>
      </c>
      <c r="M43" s="1" t="s">
        <v>2017</v>
      </c>
    </row>
    <row r="44" spans="1:13">
      <c r="A44" s="24">
        <v>75333</v>
      </c>
      <c r="B44" s="24" t="s">
        <v>757</v>
      </c>
      <c r="C44" s="24" t="s">
        <v>1696</v>
      </c>
      <c r="D44" s="22" t="s">
        <v>2500</v>
      </c>
      <c r="E44" s="8" t="str">
        <f>HYPERLINK("https://stat100.ameba.jp/tnk47/ratio20/illustrations/card/ill_75333_resukuintamamonomae03.jpg", "■")</f>
        <v>■</v>
      </c>
      <c r="F44" s="1" t="s">
        <v>1338</v>
      </c>
      <c r="G44" s="1" t="s">
        <v>1339</v>
      </c>
      <c r="H44" s="1" t="s">
        <v>1340</v>
      </c>
      <c r="I44" s="24">
        <v>25</v>
      </c>
      <c r="J44" s="24">
        <v>96871</v>
      </c>
      <c r="K44" s="24">
        <v>104162</v>
      </c>
      <c r="L44" s="1" t="s">
        <v>1737</v>
      </c>
      <c r="M44" s="1" t="s">
        <v>1738</v>
      </c>
    </row>
    <row r="45" spans="1:13">
      <c r="A45" s="24">
        <v>77353</v>
      </c>
      <c r="B45" s="24" t="s">
        <v>757</v>
      </c>
      <c r="C45" s="24" t="s">
        <v>51</v>
      </c>
      <c r="D45" s="22" t="s">
        <v>2502</v>
      </c>
      <c r="E45" s="8" t="str">
        <f>HYPERLINK("https://stat100.ameba.jp/tnk47/ratio20/illustrations/card/ill_77353_chayamusumekandamatsuri03.jpg", "■")</f>
        <v>■</v>
      </c>
      <c r="F45" s="1" t="s">
        <v>1342</v>
      </c>
      <c r="G45" s="1" t="s">
        <v>1343</v>
      </c>
      <c r="H45" s="1"/>
      <c r="I45" s="24">
        <v>25</v>
      </c>
      <c r="J45" s="24">
        <v>113890</v>
      </c>
      <c r="K45" s="24">
        <v>105890</v>
      </c>
      <c r="L45" s="1" t="s">
        <v>1739</v>
      </c>
      <c r="M45" s="1" t="s">
        <v>1740</v>
      </c>
    </row>
    <row r="46" spans="1:13">
      <c r="A46" s="24">
        <v>79963</v>
      </c>
      <c r="B46" s="24" t="s">
        <v>303</v>
      </c>
      <c r="C46" s="24" t="s">
        <v>119</v>
      </c>
      <c r="D46" s="22" t="s">
        <v>2503</v>
      </c>
      <c r="E46" s="8" t="str">
        <f>HYPERLINK("https://stat100.ameba.jp/tnk47/ratio20/illustrations/card/ill_79963_hinamatsurirakko03.jpg", "■")</f>
        <v>■</v>
      </c>
      <c r="F46" s="1" t="s">
        <v>1344</v>
      </c>
      <c r="G46" s="1" t="s">
        <v>1288</v>
      </c>
      <c r="H46" s="1"/>
      <c r="I46" s="24">
        <v>25</v>
      </c>
      <c r="J46" s="24">
        <v>113890</v>
      </c>
      <c r="K46" s="24">
        <v>105890</v>
      </c>
      <c r="L46" s="1" t="s">
        <v>1741</v>
      </c>
      <c r="M46" s="1" t="s">
        <v>1740</v>
      </c>
    </row>
    <row r="47" spans="1:13">
      <c r="A47" s="24">
        <v>71763</v>
      </c>
      <c r="B47" s="24" t="s">
        <v>757</v>
      </c>
      <c r="C47" s="24" t="s">
        <v>169</v>
      </c>
      <c r="D47" s="26" t="s">
        <v>2428</v>
      </c>
      <c r="E47" s="8" t="str">
        <f>HYPERLINK("https://stat100.ameba.jp/tnk47/ratio20/illustrations/card/ill_71763_teradatorahiko03.jpg", "■")</f>
        <v>■</v>
      </c>
      <c r="F47" s="24" t="s">
        <v>1345</v>
      </c>
      <c r="G47" s="1" t="s">
        <v>1346</v>
      </c>
      <c r="H47" s="1"/>
      <c r="I47" s="1">
        <v>25</v>
      </c>
      <c r="J47" s="24">
        <v>70844</v>
      </c>
      <c r="K47" s="24">
        <v>125931</v>
      </c>
      <c r="L47" s="24" t="s">
        <v>1742</v>
      </c>
      <c r="M47" s="24" t="s">
        <v>3089</v>
      </c>
    </row>
    <row r="48" spans="1:13">
      <c r="A48" s="24">
        <v>56083</v>
      </c>
      <c r="B48" s="24" t="s">
        <v>757</v>
      </c>
      <c r="C48" s="24" t="s">
        <v>169</v>
      </c>
      <c r="D48" s="1" t="s">
        <v>1347</v>
      </c>
      <c r="E48" s="8" t="str">
        <f>HYPERLINK("https://stat100.ameba.jp/tnk47/ratio20/illustrations/card/ill_56083_tanakashozo03.jpg", "■")</f>
        <v>■</v>
      </c>
      <c r="F48" s="24" t="s">
        <v>2429</v>
      </c>
      <c r="G48" s="1" t="s">
        <v>1072</v>
      </c>
      <c r="H48" s="1"/>
      <c r="I48" s="1">
        <v>26</v>
      </c>
      <c r="J48" s="24">
        <v>112808</v>
      </c>
      <c r="K48" s="24">
        <v>81098</v>
      </c>
      <c r="L48" s="24" t="s">
        <v>2430</v>
      </c>
      <c r="M48" s="24" t="s">
        <v>3090</v>
      </c>
    </row>
    <row r="49" spans="1:13">
      <c r="A49" s="24">
        <v>69213</v>
      </c>
      <c r="B49" s="24" t="s">
        <v>757</v>
      </c>
      <c r="C49" s="24" t="s">
        <v>149</v>
      </c>
      <c r="D49" s="22" t="s">
        <v>2180</v>
      </c>
      <c r="E49" s="8" t="str">
        <f>HYPERLINK("https://stat100.ameba.jp/tnk47/ratio20/illustrations/card/ill_69213_burodoeiimagawayaki03.jpg", "■")</f>
        <v>■</v>
      </c>
      <c r="F49" s="6" t="s">
        <v>1352</v>
      </c>
      <c r="G49" s="1" t="s">
        <v>2427</v>
      </c>
      <c r="H49" s="1"/>
      <c r="I49" s="1">
        <v>25</v>
      </c>
      <c r="J49" s="6">
        <v>109786</v>
      </c>
      <c r="K49" s="6">
        <v>118063</v>
      </c>
      <c r="L49" s="6" t="s">
        <v>1746</v>
      </c>
      <c r="M49" s="6" t="s">
        <v>926</v>
      </c>
    </row>
    <row r="50" spans="1:13">
      <c r="A50" s="41">
        <v>88803</v>
      </c>
      <c r="B50" s="41" t="s">
        <v>757</v>
      </c>
      <c r="C50" s="41" t="s">
        <v>149</v>
      </c>
      <c r="D50" s="41" t="s">
        <v>2837</v>
      </c>
      <c r="E50" s="8" t="str">
        <f>HYPERLINK("https://stat100.ameba.jp/tnk47/ratio20/illustrations/card/ill_88803_buruberitei03.jpg", "■")</f>
        <v>■</v>
      </c>
      <c r="F50" s="41" t="s">
        <v>2838</v>
      </c>
      <c r="G50" s="41" t="s">
        <v>1302</v>
      </c>
      <c r="H50" s="41"/>
      <c r="I50" s="41">
        <v>25</v>
      </c>
      <c r="J50" s="41">
        <v>101373</v>
      </c>
      <c r="K50" s="41">
        <v>94295</v>
      </c>
      <c r="L50" s="41" t="s">
        <v>2839</v>
      </c>
      <c r="M50" s="41" t="s">
        <v>3091</v>
      </c>
    </row>
    <row r="51" spans="1:13">
      <c r="A51" s="24">
        <v>73503</v>
      </c>
      <c r="B51" s="24" t="s">
        <v>757</v>
      </c>
      <c r="C51" s="24" t="s">
        <v>67</v>
      </c>
      <c r="D51" s="1" t="s">
        <v>1354</v>
      </c>
      <c r="E51" s="8" t="str">
        <f>HYPERLINK("https://stat100.ameba.jp/tnk47/ratio20/illustrations/card/ill_73503_nagashirahanokami03.jpg", "■")</f>
        <v>■</v>
      </c>
      <c r="F51" s="1" t="s">
        <v>1355</v>
      </c>
      <c r="G51" s="1" t="s">
        <v>1072</v>
      </c>
      <c r="H51" s="1"/>
      <c r="I51" s="1">
        <v>26</v>
      </c>
      <c r="J51" s="24">
        <v>130968</v>
      </c>
      <c r="K51" s="24">
        <v>73678</v>
      </c>
      <c r="L51" s="1" t="s">
        <v>1749</v>
      </c>
      <c r="M51" s="1" t="s">
        <v>2019</v>
      </c>
    </row>
    <row r="52" spans="1:13">
      <c r="A52" s="24">
        <v>42413</v>
      </c>
      <c r="B52" s="24" t="s">
        <v>757</v>
      </c>
      <c r="C52" s="24" t="s">
        <v>67</v>
      </c>
      <c r="D52" s="1" t="s">
        <v>1356</v>
      </c>
      <c r="E52" s="8" t="str">
        <f>HYPERLINK("https://stat100.ameba.jp/tnk47/ratio20/illustrations/card/ill_42413_temma03.jpg", "■")</f>
        <v>■</v>
      </c>
      <c r="F52" s="24" t="s">
        <v>2432</v>
      </c>
      <c r="G52" s="1" t="s">
        <v>1131</v>
      </c>
      <c r="H52" s="24" t="s">
        <v>2609</v>
      </c>
      <c r="I52" s="1">
        <v>25</v>
      </c>
      <c r="J52" s="24">
        <v>89590</v>
      </c>
      <c r="K52" s="24">
        <v>96360</v>
      </c>
      <c r="L52" s="1" t="s">
        <v>1750</v>
      </c>
      <c r="M52" s="1" t="s">
        <v>1751</v>
      </c>
    </row>
    <row r="53" spans="1:13">
      <c r="A53" s="24">
        <v>84253</v>
      </c>
      <c r="B53" s="24" t="s">
        <v>303</v>
      </c>
      <c r="C53" s="24" t="s">
        <v>67</v>
      </c>
      <c r="D53" s="22" t="s">
        <v>2507</v>
      </c>
      <c r="E53" s="8" t="str">
        <f>HYPERLINK("https://stat100.ameba.jp/tnk47/ratio20/illustrations/card/ill_84253_yokaitaisenkushinadahime03.jpg", "■")</f>
        <v>■</v>
      </c>
      <c r="F53" s="1" t="s">
        <v>1357</v>
      </c>
      <c r="G53" s="1"/>
      <c r="H53" s="1" t="s">
        <v>1358</v>
      </c>
      <c r="I53" s="24">
        <v>25</v>
      </c>
      <c r="J53" s="24">
        <v>101971</v>
      </c>
      <c r="K53" s="24">
        <v>94802</v>
      </c>
      <c r="L53" s="1" t="s">
        <v>1752</v>
      </c>
      <c r="M53" s="1" t="s">
        <v>2020</v>
      </c>
    </row>
    <row r="54" spans="1:13">
      <c r="A54" s="24">
        <v>63413</v>
      </c>
      <c r="B54" s="6" t="s">
        <v>303</v>
      </c>
      <c r="C54" s="24" t="s">
        <v>26</v>
      </c>
      <c r="D54" s="27" t="s">
        <v>2433</v>
      </c>
      <c r="E54" s="8" t="str">
        <f>HYPERLINK("https://stat100.ameba.jp/tnk47/ratio20/illustrations/card/ill_63413_nidaimeichikawadanjuro03.jpg", "■")</f>
        <v>■</v>
      </c>
      <c r="F54" s="6" t="s">
        <v>2434</v>
      </c>
      <c r="G54" s="1" t="s">
        <v>1166</v>
      </c>
      <c r="H54" s="1"/>
      <c r="I54" s="6">
        <v>26</v>
      </c>
      <c r="J54" s="6">
        <v>130220</v>
      </c>
      <c r="K54" s="6">
        <v>73272</v>
      </c>
      <c r="L54" s="6" t="s">
        <v>2435</v>
      </c>
      <c r="M54" s="6" t="s">
        <v>796</v>
      </c>
    </row>
    <row r="55" spans="1:13">
      <c r="A55" s="24">
        <v>52843</v>
      </c>
      <c r="B55" s="24" t="s">
        <v>303</v>
      </c>
      <c r="C55" s="24" t="s">
        <v>26</v>
      </c>
      <c r="D55" s="26" t="s">
        <v>2436</v>
      </c>
      <c r="E55" s="8" t="str">
        <f>HYPERLINK("https://stat100.ameba.jp/tnk47/ratio20/illustrations/card/ill_52843_andoroidofumakotaro03.jpg", "■")</f>
        <v>■</v>
      </c>
      <c r="F55" s="24" t="s">
        <v>1361</v>
      </c>
      <c r="G55" s="1"/>
      <c r="H55" s="1" t="s">
        <v>1362</v>
      </c>
      <c r="I55" s="24">
        <v>25</v>
      </c>
      <c r="J55" s="24">
        <v>89590</v>
      </c>
      <c r="K55" s="24">
        <v>96360</v>
      </c>
      <c r="L55" s="24" t="s">
        <v>1753</v>
      </c>
      <c r="M55" s="24" t="s">
        <v>3092</v>
      </c>
    </row>
    <row r="56" spans="1:13">
      <c r="A56" s="24"/>
      <c r="B56" s="24"/>
      <c r="C56" s="24"/>
      <c r="D56" s="1"/>
      <c r="F56" s="1"/>
      <c r="G56" s="1"/>
      <c r="H56" s="1"/>
      <c r="I56" s="1"/>
      <c r="J56" s="1"/>
      <c r="K56" s="1"/>
      <c r="L56" s="1"/>
      <c r="M56" s="1"/>
    </row>
    <row r="57" spans="1:13">
      <c r="A57" s="24">
        <v>41433</v>
      </c>
      <c r="B57" s="24" t="s">
        <v>758</v>
      </c>
      <c r="C57" s="24" t="s">
        <v>59</v>
      </c>
      <c r="D57" s="22" t="s">
        <v>2656</v>
      </c>
      <c r="E57" s="8" t="str">
        <f>HYPERLINK("https://stat100.ameba.jp/tnk47/ratio20/illustrations/card/ill_41433_baikuodanobunaga03.jpg", "■")</f>
        <v>■</v>
      </c>
      <c r="F57" s="1" t="s">
        <v>1363</v>
      </c>
      <c r="G57" s="1" t="s">
        <v>1142</v>
      </c>
      <c r="H57" s="24" t="s">
        <v>2609</v>
      </c>
      <c r="I57" s="1">
        <v>25</v>
      </c>
      <c r="J57" s="1">
        <v>148199</v>
      </c>
      <c r="K57" s="1">
        <v>89590</v>
      </c>
      <c r="L57" s="1" t="s">
        <v>1754</v>
      </c>
      <c r="M57" s="1" t="s">
        <v>1755</v>
      </c>
    </row>
    <row r="58" spans="1:13">
      <c r="A58" s="24">
        <v>73723</v>
      </c>
      <c r="B58" s="24" t="s">
        <v>758</v>
      </c>
      <c r="C58" s="24" t="s">
        <v>59</v>
      </c>
      <c r="D58" s="22" t="s">
        <v>2508</v>
      </c>
      <c r="E58" s="8" t="str">
        <f>HYPERLINK("https://stat100.ameba.jp/tnk47/ratio20/illustrations/card/ill_73723_umibirakitomoegozen03.jpg", "■")</f>
        <v>■</v>
      </c>
      <c r="F58" s="1" t="s">
        <v>1364</v>
      </c>
      <c r="G58" s="1"/>
      <c r="H58" s="1" t="s">
        <v>1365</v>
      </c>
      <c r="I58" s="1">
        <v>24</v>
      </c>
      <c r="J58" s="1">
        <v>142674</v>
      </c>
      <c r="K58" s="1">
        <v>132658</v>
      </c>
      <c r="L58" s="1" t="s">
        <v>1756</v>
      </c>
      <c r="M58" s="1" t="s">
        <v>2021</v>
      </c>
    </row>
    <row r="59" spans="1:13">
      <c r="A59" s="46">
        <v>62193</v>
      </c>
      <c r="B59" s="46" t="s">
        <v>758</v>
      </c>
      <c r="C59" s="46" t="s">
        <v>209</v>
      </c>
      <c r="D59" s="22" t="s">
        <v>2843</v>
      </c>
      <c r="E59" s="8" t="str">
        <f>HYPERLINK("https://stat100.ameba.jp/tnk47/ratio20/illustrations/card/ill_62193_sakakibaramichiko03.jpg", "■")</f>
        <v>■</v>
      </c>
      <c r="F59" s="46" t="s">
        <v>2841</v>
      </c>
      <c r="G59" s="46"/>
      <c r="H59" s="46" t="s">
        <v>3190</v>
      </c>
      <c r="I59" s="46">
        <v>25</v>
      </c>
      <c r="J59" s="46">
        <v>90759</v>
      </c>
      <c r="K59" s="46">
        <v>97651</v>
      </c>
      <c r="L59" s="46" t="s">
        <v>2842</v>
      </c>
      <c r="M59" s="46" t="s">
        <v>798</v>
      </c>
    </row>
    <row r="60" spans="1:13">
      <c r="A60" s="24">
        <v>81983</v>
      </c>
      <c r="B60" s="24" t="s">
        <v>758</v>
      </c>
      <c r="C60" s="6" t="s">
        <v>17</v>
      </c>
      <c r="D60" s="22" t="s">
        <v>2181</v>
      </c>
      <c r="E60" s="8" t="str">
        <f>HYPERLINK("https://stat100.ameba.jp/tnk47/ratio20/illustrations/card/ill_81983_otenkinonesammatsushitaotome03.jpg", "■")</f>
        <v>■</v>
      </c>
      <c r="F60" s="6" t="s">
        <v>1366</v>
      </c>
      <c r="G60" s="1" t="s">
        <v>1367</v>
      </c>
      <c r="H60" s="1"/>
      <c r="I60" s="1">
        <v>25</v>
      </c>
      <c r="J60" s="6">
        <v>97651</v>
      </c>
      <c r="K60" s="6">
        <v>90759</v>
      </c>
      <c r="L60" s="6" t="s">
        <v>1757</v>
      </c>
      <c r="M60" s="6" t="s">
        <v>1988</v>
      </c>
    </row>
    <row r="61" spans="1:13">
      <c r="A61" s="24">
        <v>74913</v>
      </c>
      <c r="B61" s="24" t="s">
        <v>306</v>
      </c>
      <c r="C61" s="24" t="s">
        <v>44</v>
      </c>
      <c r="D61" s="22" t="s">
        <v>2509</v>
      </c>
      <c r="E61" s="8" t="str">
        <f>HYPERLINK("https://stat100.ameba.jp/tnk47/ratio20/illustrations/card/ill_74913_nekomatainari03.jpg", "■")</f>
        <v>■</v>
      </c>
      <c r="F61" s="1" t="s">
        <v>1368</v>
      </c>
      <c r="G61" s="1" t="s">
        <v>1072</v>
      </c>
      <c r="H61" s="1" t="s">
        <v>1369</v>
      </c>
      <c r="I61" s="1">
        <v>23</v>
      </c>
      <c r="J61" s="1">
        <v>129501</v>
      </c>
      <c r="K61" s="1">
        <v>72883</v>
      </c>
      <c r="L61" s="1" t="s">
        <v>1758</v>
      </c>
      <c r="M61" s="1" t="s">
        <v>2022</v>
      </c>
    </row>
    <row r="62" spans="1:13">
      <c r="A62" s="24">
        <v>68393</v>
      </c>
      <c r="B62" s="24" t="s">
        <v>306</v>
      </c>
      <c r="C62" s="24" t="s">
        <v>154</v>
      </c>
      <c r="D62" s="22" t="s">
        <v>2437</v>
      </c>
      <c r="E62" s="8" t="str">
        <f>HYPERLINK("https://stat100.ameba.jp/tnk47/ratio20/illustrations/card/ill_68393_soseikinokain03.jpg", "■")</f>
        <v>■</v>
      </c>
      <c r="F62" s="24" t="s">
        <v>1370</v>
      </c>
      <c r="G62" s="1"/>
      <c r="H62" s="1" t="s">
        <v>1379</v>
      </c>
      <c r="I62" s="24">
        <v>25</v>
      </c>
      <c r="J62" s="24">
        <v>79221</v>
      </c>
      <c r="K62" s="24">
        <v>140761</v>
      </c>
      <c r="L62" s="24" t="s">
        <v>1759</v>
      </c>
      <c r="M62" s="24" t="s">
        <v>3093</v>
      </c>
    </row>
    <row r="63" spans="1:13">
      <c r="A63" s="6">
        <v>59923</v>
      </c>
      <c r="B63" s="24" t="s">
        <v>306</v>
      </c>
      <c r="C63" s="24" t="s">
        <v>154</v>
      </c>
      <c r="D63" s="22" t="s">
        <v>2183</v>
      </c>
      <c r="E63" s="8" t="str">
        <f>HYPERLINK("https://stat100.ameba.jp/tnk47/ratio20/illustrations/card/ill_59923_yuseikuroyuridensetsu03.jpg", "■")</f>
        <v>■</v>
      </c>
      <c r="F63" s="1" t="s">
        <v>1374</v>
      </c>
      <c r="G63" s="1" t="s">
        <v>1375</v>
      </c>
      <c r="H63" s="1"/>
      <c r="I63" s="1">
        <v>26</v>
      </c>
      <c r="J63" s="1">
        <v>118656</v>
      </c>
      <c r="K63" s="1">
        <v>110126</v>
      </c>
      <c r="L63" s="1" t="s">
        <v>1761</v>
      </c>
      <c r="M63" s="1" t="s">
        <v>1762</v>
      </c>
    </row>
    <row r="64" spans="1:13">
      <c r="A64" s="6">
        <v>65773</v>
      </c>
      <c r="B64" s="66" t="s">
        <v>306</v>
      </c>
      <c r="C64" s="66" t="s">
        <v>154</v>
      </c>
      <c r="D64" s="26" t="s">
        <v>3036</v>
      </c>
      <c r="E64" s="8" t="str">
        <f>HYPERLINK("https://stat100.ameba.jp/tnk47/ratio20/illustrations/card/ill_65773_kitsunenoyomeiri03.jpg", "■")</f>
        <v>■</v>
      </c>
      <c r="F64" s="66" t="s">
        <v>3037</v>
      </c>
      <c r="G64" s="66" t="s">
        <v>1072</v>
      </c>
      <c r="H64" s="66"/>
      <c r="I64" s="66">
        <v>26</v>
      </c>
      <c r="J64" s="66">
        <v>118656</v>
      </c>
      <c r="K64" s="66">
        <v>110126</v>
      </c>
      <c r="L64" s="66" t="s">
        <v>3038</v>
      </c>
      <c r="M64" s="66" t="s">
        <v>2016</v>
      </c>
    </row>
    <row r="65" spans="1:13">
      <c r="A65" s="24">
        <v>56183</v>
      </c>
      <c r="B65" s="24" t="s">
        <v>306</v>
      </c>
      <c r="C65" s="24" t="s">
        <v>51</v>
      </c>
      <c r="D65" s="22" t="s">
        <v>2443</v>
      </c>
      <c r="E65" s="8" t="str">
        <f>HYPERLINK("https://stat100.ameba.jp/tnk47/ratio20/illustrations/card/ill_56183_onsempanikkukoteipenginchan03.jpg", "■")</f>
        <v>■</v>
      </c>
      <c r="F65" s="24" t="s">
        <v>1378</v>
      </c>
      <c r="G65" s="1" t="s">
        <v>3339</v>
      </c>
      <c r="H65" s="1" t="s">
        <v>1379</v>
      </c>
      <c r="I65" s="24">
        <v>24</v>
      </c>
      <c r="J65" s="24">
        <v>92504</v>
      </c>
      <c r="K65" s="24">
        <v>86006</v>
      </c>
      <c r="L65" s="24" t="s">
        <v>1763</v>
      </c>
      <c r="M65" s="24" t="s">
        <v>1764</v>
      </c>
    </row>
    <row r="66" spans="1:13">
      <c r="A66" s="24">
        <v>70793</v>
      </c>
      <c r="B66" s="24" t="s">
        <v>306</v>
      </c>
      <c r="C66" s="24" t="s">
        <v>51</v>
      </c>
      <c r="D66" s="26" t="s">
        <v>2444</v>
      </c>
      <c r="E66" s="8" t="str">
        <f>HYPERLINK("https://stat100.ameba.jp/tnk47/ratio20/illustrations/card/ill_70793_tojimbo03.jpg", "■")</f>
        <v>■</v>
      </c>
      <c r="F66" s="24" t="s">
        <v>1380</v>
      </c>
      <c r="G66" s="1" t="s">
        <v>1199</v>
      </c>
      <c r="H66" s="1"/>
      <c r="I66" s="24">
        <v>26</v>
      </c>
      <c r="J66" s="24">
        <v>125392</v>
      </c>
      <c r="K66" s="24">
        <v>70556</v>
      </c>
      <c r="L66" s="24" t="s">
        <v>1765</v>
      </c>
      <c r="M66" s="24" t="s">
        <v>3094</v>
      </c>
    </row>
    <row r="67" spans="1:13">
      <c r="A67" s="24">
        <v>79713</v>
      </c>
      <c r="B67" s="24" t="s">
        <v>306</v>
      </c>
      <c r="C67" s="24" t="s">
        <v>119</v>
      </c>
      <c r="D67" s="22" t="s">
        <v>2445</v>
      </c>
      <c r="E67" s="8" t="str">
        <f>HYPERLINK("https://stat100.ameba.jp/tnk47/ratio20/illustrations/card/ill_79713_yukinosaitembodeikonchan03.jpg", "■")</f>
        <v>■</v>
      </c>
      <c r="F67" s="24" t="s">
        <v>1381</v>
      </c>
      <c r="G67" s="1" t="s">
        <v>1131</v>
      </c>
      <c r="H67" s="1"/>
      <c r="I67" s="24">
        <v>25</v>
      </c>
      <c r="J67" s="24">
        <v>113890</v>
      </c>
      <c r="K67" s="24">
        <v>105890</v>
      </c>
      <c r="L67" s="24" t="s">
        <v>1766</v>
      </c>
      <c r="M67" s="24" t="s">
        <v>1740</v>
      </c>
    </row>
    <row r="68" spans="1:13">
      <c r="A68" s="24">
        <v>67383</v>
      </c>
      <c r="B68" s="24" t="s">
        <v>306</v>
      </c>
      <c r="C68" s="24" t="s">
        <v>169</v>
      </c>
      <c r="D68" s="26" t="s">
        <v>2446</v>
      </c>
      <c r="E68" s="8" t="str">
        <f>HYPERLINK("https://stat100.ameba.jp/tnk47/ratio20/illustrations/card/ill_67383_jobayamakawatomiko03.jpg", "■")</f>
        <v>■</v>
      </c>
      <c r="F68" s="24" t="s">
        <v>1382</v>
      </c>
      <c r="G68" s="1" t="s">
        <v>1131</v>
      </c>
      <c r="H68" s="1"/>
      <c r="I68" s="24">
        <v>25</v>
      </c>
      <c r="J68" s="24">
        <v>97651</v>
      </c>
      <c r="K68" s="24">
        <v>90759</v>
      </c>
      <c r="L68" s="24" t="s">
        <v>2447</v>
      </c>
      <c r="M68" s="24" t="s">
        <v>3095</v>
      </c>
    </row>
    <row r="69" spans="1:13">
      <c r="A69" s="24">
        <v>63223</v>
      </c>
      <c r="B69" s="6" t="s">
        <v>306</v>
      </c>
      <c r="C69" s="24" t="s">
        <v>87</v>
      </c>
      <c r="D69" s="26" t="s">
        <v>2448</v>
      </c>
      <c r="E69" s="8" t="str">
        <f>HYPERLINK("https://stat100.ameba.jp/tnk47/ratio20/illustrations/card/ill_63223_kyupiddodainokata03.jpg", "■")</f>
        <v>■</v>
      </c>
      <c r="F69" s="24" t="s">
        <v>1384</v>
      </c>
      <c r="G69" s="1"/>
      <c r="H69" s="1" t="s">
        <v>1385</v>
      </c>
      <c r="I69" s="24">
        <v>25</v>
      </c>
      <c r="J69" s="24">
        <v>97651</v>
      </c>
      <c r="K69" s="24">
        <v>90759</v>
      </c>
      <c r="L69" s="24" t="s">
        <v>1767</v>
      </c>
      <c r="M69" s="24" t="s">
        <v>131</v>
      </c>
    </row>
    <row r="70" spans="1:13">
      <c r="A70" s="24">
        <v>69533</v>
      </c>
      <c r="B70" s="24" t="s">
        <v>758</v>
      </c>
      <c r="C70" s="24" t="s">
        <v>169</v>
      </c>
      <c r="D70" s="22" t="s">
        <v>2513</v>
      </c>
      <c r="E70" s="8" t="str">
        <f>HYPERLINK("https://stat100.ameba.jp/tnk47/ratio20/illustrations/card/ill_69533_setsubunodainokata03.jpg", "■")</f>
        <v>■</v>
      </c>
      <c r="F70" s="1" t="s">
        <v>1386</v>
      </c>
      <c r="G70" s="1" t="s">
        <v>1072</v>
      </c>
      <c r="H70" s="1" t="s">
        <v>1387</v>
      </c>
      <c r="I70" s="24">
        <v>25</v>
      </c>
      <c r="J70" s="24">
        <v>97651</v>
      </c>
      <c r="K70" s="24">
        <v>90759</v>
      </c>
      <c r="L70" s="1" t="s">
        <v>1768</v>
      </c>
      <c r="M70" s="1" t="s">
        <v>2023</v>
      </c>
    </row>
    <row r="71" spans="1:13">
      <c r="A71" s="24">
        <v>86673</v>
      </c>
      <c r="B71" s="24" t="s">
        <v>306</v>
      </c>
      <c r="C71" s="24" t="s">
        <v>87</v>
      </c>
      <c r="D71" s="22" t="s">
        <v>2185</v>
      </c>
      <c r="E71" s="8" t="str">
        <f>HYPERLINK("https://stat100.ameba.jp/tnk47/ratio20/illustrations/card/ill_86673_shogatsunisenjunanayamakawatomiko03.jpg", "■")</f>
        <v>■</v>
      </c>
      <c r="F71" s="1" t="s">
        <v>1388</v>
      </c>
      <c r="G71" s="1" t="s">
        <v>1389</v>
      </c>
      <c r="H71" s="1"/>
      <c r="I71" s="1">
        <v>25</v>
      </c>
      <c r="J71" s="1">
        <v>97651</v>
      </c>
      <c r="K71" s="1">
        <v>90759</v>
      </c>
      <c r="L71" s="1" t="s">
        <v>1769</v>
      </c>
      <c r="M71" s="1" t="s">
        <v>2024</v>
      </c>
    </row>
    <row r="72" spans="1:13">
      <c r="A72" s="24">
        <v>78213</v>
      </c>
      <c r="B72" s="24" t="s">
        <v>306</v>
      </c>
      <c r="C72" s="24" t="s">
        <v>1175</v>
      </c>
      <c r="D72" s="22" t="s">
        <v>2514</v>
      </c>
      <c r="E72" s="8" t="str">
        <f>HYPERLINK("https://stat100.ameba.jp/tnk47/ratio20/illustrations/card/ill_78213_otomarijoshikaitaiyakichan03.jpg", "■")</f>
        <v>■</v>
      </c>
      <c r="F72" s="1" t="s">
        <v>1392</v>
      </c>
      <c r="G72" s="1" t="s">
        <v>1073</v>
      </c>
      <c r="H72" s="1"/>
      <c r="I72" s="24">
        <v>25</v>
      </c>
      <c r="J72" s="24">
        <v>148619</v>
      </c>
      <c r="K72" s="24">
        <v>138186</v>
      </c>
      <c r="L72" s="1" t="s">
        <v>1772</v>
      </c>
      <c r="M72" s="1" t="s">
        <v>1773</v>
      </c>
    </row>
    <row r="73" spans="1:13">
      <c r="A73" s="66">
        <v>83213</v>
      </c>
      <c r="B73" s="66" t="s">
        <v>306</v>
      </c>
      <c r="C73" s="66" t="s">
        <v>1175</v>
      </c>
      <c r="D73" s="22" t="s">
        <v>3017</v>
      </c>
      <c r="E73" s="8" t="str">
        <f>HYPERLINK("https://stat100.ameba.jp/tnk47/ratio20/illustrations/card/ill_83213_hanabishiechizenganinabechan03.jpg", "■")</f>
        <v>■</v>
      </c>
      <c r="F73" s="66" t="s">
        <v>3018</v>
      </c>
      <c r="G73" s="66" t="s">
        <v>3020</v>
      </c>
      <c r="H73" s="66"/>
      <c r="I73" s="66">
        <v>24</v>
      </c>
      <c r="J73" s="66">
        <v>105394</v>
      </c>
      <c r="K73" s="66">
        <v>113340</v>
      </c>
      <c r="L73" s="66" t="s">
        <v>3019</v>
      </c>
      <c r="M73" s="66" t="s">
        <v>926</v>
      </c>
    </row>
    <row r="74" spans="1:13">
      <c r="A74" s="24">
        <v>82373</v>
      </c>
      <c r="B74" s="24" t="s">
        <v>306</v>
      </c>
      <c r="C74" s="24" t="s">
        <v>67</v>
      </c>
      <c r="D74" s="26" t="s">
        <v>1393</v>
      </c>
      <c r="E74" s="8" t="str">
        <f>HYPERLINK("https://stat100.ameba.jp/tnk47/ratio20/illustrations/card/ill_82373_bikinigaruyasharyujin03.jpg", "■")</f>
        <v>■</v>
      </c>
      <c r="F74" s="24" t="s">
        <v>2454</v>
      </c>
      <c r="G74" s="1"/>
      <c r="H74" s="1" t="s">
        <v>2806</v>
      </c>
      <c r="I74" s="24">
        <v>25</v>
      </c>
      <c r="J74" s="24">
        <v>101971</v>
      </c>
      <c r="K74" s="24">
        <v>94802</v>
      </c>
      <c r="L74" s="24" t="s">
        <v>2455</v>
      </c>
      <c r="M74" s="24" t="s">
        <v>928</v>
      </c>
    </row>
    <row r="75" spans="1:13">
      <c r="A75" s="24">
        <v>60213</v>
      </c>
      <c r="B75" s="24" t="s">
        <v>306</v>
      </c>
      <c r="C75" s="24" t="s">
        <v>26</v>
      </c>
      <c r="D75" s="26" t="s">
        <v>2459</v>
      </c>
      <c r="E75" s="8" t="str">
        <f>HYPERLINK("https://stat100.ameba.jp/tnk47/ratio20/illustrations/card/ill_60213_nonakachiyoko03.jpg", "■")</f>
        <v>■</v>
      </c>
      <c r="F75" s="24" t="s">
        <v>2460</v>
      </c>
      <c r="G75" s="1" t="s">
        <v>1166</v>
      </c>
      <c r="H75" s="1"/>
      <c r="I75" s="24">
        <v>26</v>
      </c>
      <c r="J75" s="24">
        <v>118000</v>
      </c>
      <c r="K75" s="24">
        <v>85492</v>
      </c>
      <c r="L75" s="24" t="s">
        <v>2461</v>
      </c>
      <c r="M75" s="24" t="s">
        <v>932</v>
      </c>
    </row>
    <row r="76" spans="1:13">
      <c r="A76" s="24">
        <v>74253</v>
      </c>
      <c r="B76" s="24" t="s">
        <v>306</v>
      </c>
      <c r="C76" s="24" t="s">
        <v>123</v>
      </c>
      <c r="D76" s="22" t="s">
        <v>2515</v>
      </c>
      <c r="E76" s="8" t="str">
        <f>HYPERLINK("https://stat100.ameba.jp/tnk47/ratio20/illustrations/card/ill_74253_kanainoburu03.jpg", "■")</f>
        <v>■</v>
      </c>
      <c r="F76" s="24" t="s">
        <v>1394</v>
      </c>
      <c r="G76" s="1" t="s">
        <v>1131</v>
      </c>
      <c r="H76" s="1"/>
      <c r="I76" s="24">
        <v>24</v>
      </c>
      <c r="J76" s="24">
        <v>101656</v>
      </c>
      <c r="K76" s="24">
        <v>109334</v>
      </c>
      <c r="L76" s="24" t="s">
        <v>2462</v>
      </c>
      <c r="M76" s="24" t="s">
        <v>3096</v>
      </c>
    </row>
    <row r="77" spans="1:13">
      <c r="A77" s="24">
        <v>53423</v>
      </c>
      <c r="B77" s="24" t="s">
        <v>306</v>
      </c>
      <c r="C77" s="24" t="s">
        <v>123</v>
      </c>
      <c r="D77" s="22" t="s">
        <v>2463</v>
      </c>
      <c r="E77" s="8" t="str">
        <f>HYPERLINK("https://stat100.ameba.jp/tnk47/ratio20/illustrations/card/ill_53423_natsumatsuriikumatsu03.jpg", "■")</f>
        <v>■</v>
      </c>
      <c r="F77" s="24" t="s">
        <v>1395</v>
      </c>
      <c r="G77" s="1"/>
      <c r="H77" s="1" t="s">
        <v>2798</v>
      </c>
      <c r="I77" s="24">
        <v>25</v>
      </c>
      <c r="J77" s="24">
        <v>89590</v>
      </c>
      <c r="K77" s="24">
        <v>96360</v>
      </c>
      <c r="L77" s="24" t="s">
        <v>1774</v>
      </c>
      <c r="M77" s="24" t="s">
        <v>3092</v>
      </c>
    </row>
    <row r="78" spans="1:13">
      <c r="A78" s="24"/>
      <c r="B78" s="24"/>
      <c r="C78" s="24"/>
      <c r="D78" s="1"/>
      <c r="F78" s="1"/>
      <c r="G78" s="1"/>
      <c r="H78" s="1"/>
      <c r="I78" s="1"/>
      <c r="J78" s="1"/>
      <c r="K78" s="1"/>
      <c r="L78" s="1"/>
      <c r="M78" s="1"/>
    </row>
    <row r="79" spans="1:13">
      <c r="A79" s="24">
        <v>67603</v>
      </c>
      <c r="B79" s="24" t="s">
        <v>379</v>
      </c>
      <c r="C79" s="24" t="s">
        <v>209</v>
      </c>
      <c r="D79" s="22" t="s">
        <v>2468</v>
      </c>
      <c r="E79" s="8" t="str">
        <f>HYPERLINK("https://stat100.ameba.jp/tnk47/ratio20/illustrations/card/ill_67603_girishiashinwafujiwaratokihime03.jpg", "■")</f>
        <v>■</v>
      </c>
      <c r="F79" s="24" t="s">
        <v>1396</v>
      </c>
      <c r="G79" s="1" t="s">
        <v>1131</v>
      </c>
      <c r="H79" s="1"/>
      <c r="I79" s="24">
        <v>25</v>
      </c>
      <c r="J79" s="24">
        <v>97651</v>
      </c>
      <c r="K79" s="24">
        <v>90759</v>
      </c>
      <c r="L79" s="24" t="s">
        <v>2469</v>
      </c>
      <c r="M79" s="24" t="s">
        <v>799</v>
      </c>
    </row>
    <row r="80" spans="1:13">
      <c r="A80" s="24">
        <v>54783</v>
      </c>
      <c r="B80" s="24" t="s">
        <v>379</v>
      </c>
      <c r="C80" s="24" t="s">
        <v>209</v>
      </c>
      <c r="D80" s="24" t="s">
        <v>1397</v>
      </c>
      <c r="E80" s="8" t="str">
        <f>HYPERLINK("https://stat100.ameba.jp/tnk47/ratio20/illustrations/card/ill_54783_youenchigusa03.jpg", "■")</f>
        <v>■</v>
      </c>
      <c r="F80" s="24" t="s">
        <v>1398</v>
      </c>
      <c r="G80" s="1"/>
      <c r="H80" s="24" t="s">
        <v>3192</v>
      </c>
      <c r="I80" s="24">
        <v>22</v>
      </c>
      <c r="J80" s="24">
        <v>95452</v>
      </c>
      <c r="K80" s="24">
        <v>68622</v>
      </c>
      <c r="L80" s="24" t="s">
        <v>1775</v>
      </c>
      <c r="M80" s="24" t="s">
        <v>2025</v>
      </c>
    </row>
    <row r="81" spans="1:14">
      <c r="A81" s="24">
        <v>71783</v>
      </c>
      <c r="B81" s="24" t="s">
        <v>379</v>
      </c>
      <c r="C81" s="24" t="s">
        <v>44</v>
      </c>
      <c r="D81" s="22" t="s">
        <v>2470</v>
      </c>
      <c r="E81" s="8" t="str">
        <f>HYPERLINK("https://stat100.ameba.jp/tnk47/ratio20/illustrations/card/ill_71783_omikikannon03.jpg", "■")</f>
        <v>■</v>
      </c>
      <c r="F81" s="24" t="s">
        <v>1399</v>
      </c>
      <c r="G81" s="1" t="s">
        <v>1166</v>
      </c>
      <c r="H81" s="1"/>
      <c r="I81" s="24">
        <v>26</v>
      </c>
      <c r="J81" s="24">
        <v>118656</v>
      </c>
      <c r="K81" s="24">
        <v>110126</v>
      </c>
      <c r="L81" s="24" t="s">
        <v>2471</v>
      </c>
      <c r="M81" s="24" t="s">
        <v>3097</v>
      </c>
    </row>
    <row r="82" spans="1:14">
      <c r="A82" s="24">
        <v>63423</v>
      </c>
      <c r="B82" s="24" t="s">
        <v>379</v>
      </c>
      <c r="C82" s="24" t="s">
        <v>44</v>
      </c>
      <c r="D82" s="26" t="s">
        <v>2472</v>
      </c>
      <c r="E82" s="8" t="str">
        <f>HYPERLINK("https://stat100.ameba.jp/tnk47/ratio20/illustrations/card/ill_63423_warashibechoja03.jpg", "■")</f>
        <v>■</v>
      </c>
      <c r="F82" s="24" t="s">
        <v>1400</v>
      </c>
      <c r="G82" s="1" t="s">
        <v>1072</v>
      </c>
      <c r="H82" s="1"/>
      <c r="I82" s="24">
        <v>25</v>
      </c>
      <c r="J82" s="24">
        <v>79221</v>
      </c>
      <c r="K82" s="24">
        <v>140761</v>
      </c>
      <c r="L82" s="24" t="s">
        <v>1776</v>
      </c>
      <c r="M82" s="24" t="s">
        <v>3098</v>
      </c>
    </row>
    <row r="83" spans="1:14">
      <c r="A83" s="24">
        <v>58283</v>
      </c>
      <c r="B83" s="24" t="s">
        <v>2477</v>
      </c>
      <c r="C83" s="24" t="s">
        <v>1242</v>
      </c>
      <c r="D83" s="24" t="s">
        <v>2517</v>
      </c>
      <c r="E83" s="8" t="str">
        <f>HYPERLINK("https://stat100.ameba.jp/tnk47/ratio20/illustrations/card/ill_58283_kyomai03.jpg", "■")</f>
        <v>■</v>
      </c>
      <c r="F83" s="24" t="s">
        <v>2478</v>
      </c>
      <c r="G83" s="1" t="s">
        <v>1259</v>
      </c>
      <c r="H83" s="24" t="s">
        <v>2609</v>
      </c>
      <c r="I83" s="31">
        <v>26</v>
      </c>
      <c r="J83" s="31">
        <v>81098</v>
      </c>
      <c r="K83" s="31">
        <v>112808</v>
      </c>
      <c r="L83" s="24" t="s">
        <v>2479</v>
      </c>
      <c r="M83" s="24" t="s">
        <v>2026</v>
      </c>
    </row>
    <row r="84" spans="1:14">
      <c r="A84" s="24">
        <v>72193</v>
      </c>
      <c r="B84" s="24" t="s">
        <v>379</v>
      </c>
      <c r="C84" s="24" t="s">
        <v>87</v>
      </c>
      <c r="D84" s="22" t="s">
        <v>2518</v>
      </c>
      <c r="E84" s="8" t="str">
        <f>HYPERLINK("https://stat100.ameba.jp/tnk47/ratio20/illustrations/card/ill_72193_koinoborikomyokogo03.jpg", "■")</f>
        <v>■</v>
      </c>
      <c r="F84" s="1" t="s">
        <v>1401</v>
      </c>
      <c r="G84" s="1" t="s">
        <v>1402</v>
      </c>
      <c r="H84" s="1"/>
      <c r="I84" s="24">
        <v>25</v>
      </c>
      <c r="J84" s="24">
        <v>97651</v>
      </c>
      <c r="K84" s="24">
        <v>90759</v>
      </c>
      <c r="L84" s="1" t="s">
        <v>1777</v>
      </c>
      <c r="M84" s="1" t="s">
        <v>1778</v>
      </c>
    </row>
    <row r="85" spans="1:14">
      <c r="A85" s="24">
        <v>66783</v>
      </c>
      <c r="B85" s="24" t="s">
        <v>310</v>
      </c>
      <c r="C85" s="24" t="s">
        <v>87</v>
      </c>
      <c r="D85" s="22" t="s">
        <v>2519</v>
      </c>
      <c r="E85" s="8" t="str">
        <f>HYPERLINK("https://stat100.ameba.jp/tnk47/ratio20/illustrations/card/ill_66783_mikimotokokichi03.jpg", "■")</f>
        <v>■</v>
      </c>
      <c r="F85" s="6" t="s">
        <v>1403</v>
      </c>
      <c r="G85" s="1" t="s">
        <v>1404</v>
      </c>
      <c r="H85" s="1"/>
      <c r="I85" s="6">
        <v>24</v>
      </c>
      <c r="J85" s="6">
        <v>115746</v>
      </c>
      <c r="K85" s="6">
        <v>65128</v>
      </c>
      <c r="L85" s="6" t="s">
        <v>2480</v>
      </c>
      <c r="M85" s="6" t="s">
        <v>1778</v>
      </c>
    </row>
    <row r="86" spans="1:14">
      <c r="A86" s="68">
        <v>81373</v>
      </c>
      <c r="B86" s="68" t="s">
        <v>310</v>
      </c>
      <c r="C86" s="68" t="s">
        <v>87</v>
      </c>
      <c r="D86" s="22" t="s">
        <v>3152</v>
      </c>
      <c r="E86" s="8" t="str">
        <f>HYPERLINK("https://stat100.ameba.jp/tnk47/ratio20/illustrations/card/ill_81373_hakatadontakuhayamisosei03.jpg?202010-i_prefecture_active_user", "■")</f>
        <v>■</v>
      </c>
      <c r="F86" s="68" t="s">
        <v>3153</v>
      </c>
      <c r="G86" s="68" t="s">
        <v>3156</v>
      </c>
      <c r="H86" s="68"/>
      <c r="I86" s="6">
        <v>27</v>
      </c>
      <c r="J86" s="68">
        <v>98019</v>
      </c>
      <c r="K86" s="68">
        <v>105465</v>
      </c>
      <c r="L86" s="68" t="s">
        <v>3154</v>
      </c>
      <c r="M86" s="68" t="s">
        <v>3155</v>
      </c>
    </row>
    <row r="87" spans="1:14">
      <c r="A87" s="24">
        <v>74323</v>
      </c>
      <c r="B87" s="24" t="s">
        <v>379</v>
      </c>
      <c r="C87" s="24" t="s">
        <v>149</v>
      </c>
      <c r="D87" s="22" t="s">
        <v>2481</v>
      </c>
      <c r="E87" s="8" t="str">
        <f>HYPERLINK("https://stat100.ameba.jp/tnk47/ratio20/illustrations/card/ill_74323_nadanosake03.jpg", "■")</f>
        <v>■</v>
      </c>
      <c r="F87" s="24" t="s">
        <v>2482</v>
      </c>
      <c r="G87" s="1" t="s">
        <v>1131</v>
      </c>
      <c r="H87" s="1"/>
      <c r="I87" s="24">
        <v>26</v>
      </c>
      <c r="J87" s="24">
        <v>151650</v>
      </c>
      <c r="K87" s="24">
        <v>85312</v>
      </c>
      <c r="L87" s="24" t="s">
        <v>2483</v>
      </c>
      <c r="M87" s="24" t="s">
        <v>923</v>
      </c>
    </row>
    <row r="88" spans="1:14">
      <c r="A88" s="24">
        <v>86663</v>
      </c>
      <c r="B88" s="24" t="s">
        <v>310</v>
      </c>
      <c r="C88" s="24" t="s">
        <v>149</v>
      </c>
      <c r="D88" s="22" t="s">
        <v>2189</v>
      </c>
      <c r="E88" s="8" t="str">
        <f>HYPERLINK("https://stat100.ameba.jp/tnk47/ratio20/illustrations/card/ill_86663_darumaichitsukimizakechan03.jpg", "■")</f>
        <v>■</v>
      </c>
      <c r="F88" s="1" t="s">
        <v>1405</v>
      </c>
      <c r="G88" s="1" t="s">
        <v>1334</v>
      </c>
      <c r="H88" s="1"/>
      <c r="I88" s="1">
        <v>25</v>
      </c>
      <c r="J88" s="1">
        <v>109786</v>
      </c>
      <c r="K88" s="1">
        <v>118063</v>
      </c>
      <c r="L88" s="1" t="s">
        <v>1779</v>
      </c>
      <c r="M88" s="1" t="s">
        <v>153</v>
      </c>
    </row>
    <row r="89" spans="1:14">
      <c r="A89" s="62">
        <v>83743</v>
      </c>
      <c r="B89" s="62" t="s">
        <v>310</v>
      </c>
      <c r="C89" s="62" t="s">
        <v>67</v>
      </c>
      <c r="D89" s="22" t="s">
        <v>2983</v>
      </c>
      <c r="E89" s="8" t="str">
        <f>HYPERLINK("https://stat100.ameba.jp/tnk47/ratio20/illustrations/card/ill_83743_usaginosatosahohime03.jpg", "■")</f>
        <v>■</v>
      </c>
      <c r="F89" s="62" t="s">
        <v>2984</v>
      </c>
      <c r="G89" s="62"/>
      <c r="H89" s="62" t="s">
        <v>1454</v>
      </c>
      <c r="I89" s="62">
        <v>12</v>
      </c>
      <c r="J89" s="62">
        <v>71337</v>
      </c>
      <c r="K89" s="62">
        <v>66329</v>
      </c>
      <c r="L89" s="62" t="s">
        <v>2985</v>
      </c>
      <c r="M89" s="62" t="s">
        <v>2021</v>
      </c>
    </row>
    <row r="90" spans="1:14">
      <c r="A90" s="24"/>
      <c r="B90" s="24"/>
      <c r="C90" s="24"/>
      <c r="D90" s="1"/>
      <c r="F90" s="1"/>
      <c r="G90" s="1"/>
      <c r="H90" s="1"/>
      <c r="I90" s="1"/>
      <c r="J90" s="1"/>
      <c r="K90" s="1"/>
      <c r="L90" s="1"/>
      <c r="M90" s="1"/>
      <c r="N90" s="1"/>
    </row>
    <row r="91" spans="1:14">
      <c r="A91" s="24">
        <v>58803</v>
      </c>
      <c r="B91" s="24" t="s">
        <v>168</v>
      </c>
      <c r="C91" s="24" t="s">
        <v>96</v>
      </c>
      <c r="D91" s="22" t="s">
        <v>2520</v>
      </c>
      <c r="E91" s="8" t="str">
        <f>HYPERLINK("https://stat100.ameba.jp/tnk47/ratio20/illustrations/card/ill_58803_setsubumpanikkumimuratsuru03.jpg", "■")</f>
        <v>■</v>
      </c>
      <c r="F91" s="1" t="s">
        <v>1408</v>
      </c>
      <c r="G91" s="1"/>
      <c r="H91" s="1" t="s">
        <v>1409</v>
      </c>
      <c r="I91" s="24">
        <v>25</v>
      </c>
      <c r="J91" s="24">
        <v>148199</v>
      </c>
      <c r="K91" s="24">
        <v>89590</v>
      </c>
      <c r="L91" s="1" t="s">
        <v>1784</v>
      </c>
      <c r="M91" s="1" t="s">
        <v>2027</v>
      </c>
    </row>
    <row r="92" spans="1:14">
      <c r="A92" s="24">
        <v>65243</v>
      </c>
      <c r="B92" s="24" t="s">
        <v>168</v>
      </c>
      <c r="C92" s="24" t="s">
        <v>59</v>
      </c>
      <c r="D92" s="22" t="s">
        <v>2521</v>
      </c>
      <c r="E92" s="8" t="str">
        <f>HYPERLINK("https://stat100.ameba.jp/tnk47/ratio20/illustrations/card/ill_65243_kagawayukikage03.jpg", "■")</f>
        <v>■</v>
      </c>
      <c r="F92" s="1" t="s">
        <v>1410</v>
      </c>
      <c r="G92" s="1"/>
      <c r="H92" s="1" t="s">
        <v>1411</v>
      </c>
      <c r="I92" s="1">
        <v>24</v>
      </c>
      <c r="J92" s="1">
        <v>99132</v>
      </c>
      <c r="K92" s="1">
        <v>176200</v>
      </c>
      <c r="L92" s="1" t="s">
        <v>1785</v>
      </c>
      <c r="M92" s="1" t="s">
        <v>823</v>
      </c>
    </row>
    <row r="93" spans="1:14">
      <c r="A93" s="24">
        <v>71753</v>
      </c>
      <c r="B93" s="24" t="s">
        <v>168</v>
      </c>
      <c r="C93" s="24" t="s">
        <v>96</v>
      </c>
      <c r="D93" s="22" t="s">
        <v>2522</v>
      </c>
      <c r="E93" s="8" t="str">
        <f>HYPERLINK("https://stat100.ameba.jp/tnk47/ratio20/illustrations/card/ill_71753_kozaiyoshikiyo03.jpg", "■")</f>
        <v>■</v>
      </c>
      <c r="F93" s="1" t="s">
        <v>1412</v>
      </c>
      <c r="G93" s="1"/>
      <c r="H93" s="1" t="s">
        <v>1413</v>
      </c>
      <c r="I93" s="24">
        <v>26</v>
      </c>
      <c r="J93" s="24">
        <v>125392</v>
      </c>
      <c r="K93" s="24">
        <v>70556</v>
      </c>
      <c r="L93" s="1" t="s">
        <v>1786</v>
      </c>
      <c r="M93" s="1" t="s">
        <v>1787</v>
      </c>
    </row>
    <row r="94" spans="1:14">
      <c r="A94" s="24">
        <v>73331</v>
      </c>
      <c r="B94" s="24" t="s">
        <v>168</v>
      </c>
      <c r="C94" s="24" t="s">
        <v>96</v>
      </c>
      <c r="D94" s="22" t="s">
        <v>2523</v>
      </c>
      <c r="E94" s="8" t="str">
        <f>HYPERLINK("https://stat100.ameba.jp/tnk47/ratio20/illustrations/card/ill_73331_akikunitora01.jpg", "■")</f>
        <v>■</v>
      </c>
      <c r="F94" s="1" t="s">
        <v>1414</v>
      </c>
      <c r="G94" s="1" t="s">
        <v>2426</v>
      </c>
      <c r="H94" s="1"/>
      <c r="I94" s="24">
        <v>25</v>
      </c>
      <c r="J94" s="24">
        <v>148619</v>
      </c>
      <c r="K94" s="24">
        <v>138186</v>
      </c>
      <c r="L94" s="1" t="s">
        <v>1788</v>
      </c>
      <c r="M94" s="1" t="s">
        <v>606</v>
      </c>
    </row>
    <row r="95" spans="1:14">
      <c r="A95" s="24">
        <v>72443</v>
      </c>
      <c r="B95" s="24" t="s">
        <v>168</v>
      </c>
      <c r="C95" s="24" t="s">
        <v>96</v>
      </c>
      <c r="D95" s="22" t="s">
        <v>2524</v>
      </c>
      <c r="E95" s="8" t="str">
        <f>HYPERLINK("https://stat100.ameba.jp/tnk47/ratio20/illustrations/card/ill_72443_uragamimasamune03.jpg", "■")</f>
        <v>■</v>
      </c>
      <c r="F95" s="1" t="s">
        <v>1415</v>
      </c>
      <c r="G95" s="1" t="s">
        <v>1131</v>
      </c>
      <c r="H95" s="1"/>
      <c r="I95" s="24">
        <v>25</v>
      </c>
      <c r="J95" s="24">
        <v>105890</v>
      </c>
      <c r="K95" s="24">
        <v>113890</v>
      </c>
      <c r="L95" s="1" t="s">
        <v>1789</v>
      </c>
      <c r="M95" s="1" t="s">
        <v>1790</v>
      </c>
    </row>
    <row r="96" spans="1:14">
      <c r="A96" s="24">
        <v>78763</v>
      </c>
      <c r="B96" s="24" t="s">
        <v>168</v>
      </c>
      <c r="C96" s="24" t="s">
        <v>96</v>
      </c>
      <c r="D96" s="22" t="s">
        <v>2190</v>
      </c>
      <c r="E96" s="8" t="str">
        <f>HYPERLINK("https://stat100.ameba.jp/tnk47/ratio20/illustrations/card/ill_78763_shichifukujinorochinomusha03.jpg", "■")</f>
        <v>■</v>
      </c>
      <c r="F96" s="1" t="s">
        <v>1416</v>
      </c>
      <c r="G96" s="1"/>
      <c r="H96" s="1" t="s">
        <v>1417</v>
      </c>
      <c r="I96" s="1">
        <v>25</v>
      </c>
      <c r="J96" s="1">
        <v>138186</v>
      </c>
      <c r="K96" s="1">
        <v>148619</v>
      </c>
      <c r="L96" s="1" t="s">
        <v>1791</v>
      </c>
      <c r="M96" s="1" t="s">
        <v>823</v>
      </c>
    </row>
    <row r="97" spans="1:14">
      <c r="A97" s="24">
        <v>83513</v>
      </c>
      <c r="B97" s="24" t="s">
        <v>168</v>
      </c>
      <c r="C97" s="24" t="s">
        <v>96</v>
      </c>
      <c r="D97" s="22" t="s">
        <v>2525</v>
      </c>
      <c r="E97" s="8" t="str">
        <f>HYPERLINK("https://stat100.ameba.jp/tnk47/ratio20/illustrations/card/ill_83513_kajuemmimuratsuru03.jpg", "■")</f>
        <v>■</v>
      </c>
      <c r="F97" s="1" t="s">
        <v>1418</v>
      </c>
      <c r="G97" s="1"/>
      <c r="H97" s="1" t="s">
        <v>1419</v>
      </c>
      <c r="I97" s="24">
        <v>25</v>
      </c>
      <c r="J97" s="24">
        <v>148619</v>
      </c>
      <c r="K97" s="24">
        <v>138186</v>
      </c>
      <c r="L97" s="1" t="s">
        <v>1792</v>
      </c>
      <c r="M97" s="1" t="s">
        <v>1793</v>
      </c>
    </row>
    <row r="98" spans="1:14">
      <c r="A98" s="24">
        <v>17593</v>
      </c>
      <c r="B98" s="24" t="s">
        <v>168</v>
      </c>
      <c r="C98" s="24" t="s">
        <v>17</v>
      </c>
      <c r="D98" s="22" t="s">
        <v>2651</v>
      </c>
      <c r="E98" s="8" t="str">
        <f>HYPERLINK("https://stat100.ameba.jp/tnk47/ratio20/illustrations/card/ill_17593_tennyohime03.jpg", "■")</f>
        <v>■</v>
      </c>
      <c r="F98" s="1" t="s">
        <v>1420</v>
      </c>
      <c r="G98" s="1"/>
      <c r="H98" s="1" t="s">
        <v>1421</v>
      </c>
      <c r="I98" s="1" t="s">
        <v>802</v>
      </c>
      <c r="J98" s="1" t="s">
        <v>802</v>
      </c>
      <c r="K98" s="1" t="s">
        <v>802</v>
      </c>
      <c r="L98" s="1" t="s">
        <v>1794</v>
      </c>
      <c r="M98" s="1" t="s">
        <v>1795</v>
      </c>
    </row>
    <row r="99" spans="1:14">
      <c r="A99" s="24">
        <v>38243</v>
      </c>
      <c r="B99" s="24" t="s">
        <v>168</v>
      </c>
      <c r="C99" s="24" t="s">
        <v>17</v>
      </c>
      <c r="D99" s="22" t="s">
        <v>2650</v>
      </c>
      <c r="E99" s="8" t="str">
        <f>HYPERLINK("https://stat100.ameba.jp/tnk47/ratio20/illustrations/card/ill_38243_suparizotomimuratsuru03.jpg", "■")</f>
        <v>■</v>
      </c>
      <c r="F99" s="1" t="s">
        <v>1422</v>
      </c>
      <c r="G99" s="1"/>
      <c r="H99" s="1" t="s">
        <v>1423</v>
      </c>
      <c r="I99" s="1" t="s">
        <v>802</v>
      </c>
      <c r="J99" s="1" t="s">
        <v>802</v>
      </c>
      <c r="K99" s="1" t="s">
        <v>802</v>
      </c>
      <c r="L99" s="1" t="s">
        <v>1796</v>
      </c>
      <c r="M99" s="1" t="s">
        <v>2028</v>
      </c>
    </row>
    <row r="100" spans="1:14">
      <c r="A100" s="24">
        <v>60693</v>
      </c>
      <c r="B100" s="24" t="s">
        <v>168</v>
      </c>
      <c r="C100" s="24" t="s">
        <v>17</v>
      </c>
      <c r="D100" s="22" t="s">
        <v>2191</v>
      </c>
      <c r="E100" s="8" t="str">
        <f>HYPERLINK("https://stat100.ameba.jp/tnk47/ratio20/illustrations/card/ill_60693_isutabanigohime03.jpg", "■")</f>
        <v>■</v>
      </c>
      <c r="F100" s="1" t="s">
        <v>1424</v>
      </c>
      <c r="G100" s="1" t="s">
        <v>1425</v>
      </c>
      <c r="H100" s="1"/>
      <c r="I100" s="1">
        <v>25</v>
      </c>
      <c r="J100" s="1">
        <v>97651</v>
      </c>
      <c r="K100" s="1">
        <v>90759</v>
      </c>
      <c r="L100" s="1" t="s">
        <v>1797</v>
      </c>
      <c r="M100" s="1" t="s">
        <v>1227</v>
      </c>
    </row>
    <row r="101" spans="1:14">
      <c r="A101" s="24">
        <v>65981</v>
      </c>
      <c r="B101" s="24" t="s">
        <v>168</v>
      </c>
      <c r="C101" s="24" t="s">
        <v>17</v>
      </c>
      <c r="D101" s="22" t="s">
        <v>2193</v>
      </c>
      <c r="E101" s="8" t="str">
        <f>HYPERLINK("https://stat100.ameba.jp/tnk47/ratio20/illustrations/card/ill_65981_tenyueiju01.jpg", "■")</f>
        <v>■</v>
      </c>
      <c r="F101" s="1" t="s">
        <v>1428</v>
      </c>
      <c r="G101" s="1" t="s">
        <v>1166</v>
      </c>
      <c r="H101" s="1"/>
      <c r="I101" s="1">
        <v>25</v>
      </c>
      <c r="J101" s="1">
        <v>120570</v>
      </c>
      <c r="K101" s="1">
        <v>67842</v>
      </c>
      <c r="L101" s="1" t="s">
        <v>1799</v>
      </c>
      <c r="M101" s="1" t="s">
        <v>1227</v>
      </c>
    </row>
    <row r="102" spans="1:14">
      <c r="A102" s="24">
        <v>37663</v>
      </c>
      <c r="B102" s="24" t="s">
        <v>168</v>
      </c>
      <c r="C102" s="6" t="s">
        <v>154</v>
      </c>
      <c r="D102" s="22" t="s">
        <v>2195</v>
      </c>
      <c r="E102" s="8" t="str">
        <f>HYPERLINK("https://stat100.ameba.jp/tnk47/ratio20/illustrations/card/ill_37663_torejamomotaro03.jpg", "■")</f>
        <v>■</v>
      </c>
      <c r="F102" s="1" t="s">
        <v>1430</v>
      </c>
      <c r="G102" s="1" t="s">
        <v>1375</v>
      </c>
      <c r="H102" s="1" t="s">
        <v>976</v>
      </c>
      <c r="I102" s="6">
        <v>25</v>
      </c>
      <c r="J102" s="6">
        <v>96360</v>
      </c>
      <c r="K102" s="6">
        <v>89590</v>
      </c>
      <c r="L102" s="6" t="s">
        <v>2648</v>
      </c>
      <c r="M102" s="6" t="s">
        <v>2649</v>
      </c>
    </row>
    <row r="103" spans="1:14">
      <c r="A103" s="24">
        <v>41633</v>
      </c>
      <c r="B103" s="24" t="s">
        <v>168</v>
      </c>
      <c r="C103" s="24" t="s">
        <v>1183</v>
      </c>
      <c r="D103" s="22" t="s">
        <v>2654</v>
      </c>
      <c r="E103" s="8" t="str">
        <f>HYPERLINK("https://stat100.ameba.jp/tnk47/ratio20/illustrations/card/ill_41633_baresukuyagamihime03.jpg", "■")</f>
        <v>■</v>
      </c>
      <c r="F103" s="1" t="s">
        <v>1431</v>
      </c>
      <c r="G103" s="1"/>
      <c r="H103" s="1" t="s">
        <v>1432</v>
      </c>
      <c r="I103" s="1" t="s">
        <v>802</v>
      </c>
      <c r="J103" s="1" t="s">
        <v>802</v>
      </c>
      <c r="K103" s="1" t="s">
        <v>802</v>
      </c>
      <c r="L103" s="1" t="s">
        <v>1801</v>
      </c>
      <c r="M103" s="1" t="s">
        <v>2029</v>
      </c>
    </row>
    <row r="104" spans="1:14">
      <c r="A104" s="24">
        <v>60983</v>
      </c>
      <c r="B104" s="24" t="s">
        <v>168</v>
      </c>
      <c r="C104" s="24" t="s">
        <v>1183</v>
      </c>
      <c r="D104" s="22" t="s">
        <v>2526</v>
      </c>
      <c r="E104" s="8" t="str">
        <f>HYPERLINK("https://stat100.ameba.jp/tnk47/ratio20/illustrations/card/ill_60983_majutsushitsurunongaeshi03.jpg", "■")</f>
        <v>■</v>
      </c>
      <c r="F104" s="1" t="s">
        <v>1433</v>
      </c>
      <c r="G104" s="1"/>
      <c r="H104" s="1" t="s">
        <v>976</v>
      </c>
      <c r="I104" s="24">
        <v>26</v>
      </c>
      <c r="J104" s="24">
        <v>98644</v>
      </c>
      <c r="K104" s="24">
        <v>91884</v>
      </c>
      <c r="L104" s="1" t="s">
        <v>1802</v>
      </c>
      <c r="M104" s="1" t="s">
        <v>1803</v>
      </c>
    </row>
    <row r="105" spans="1:14">
      <c r="A105" s="24">
        <v>24333</v>
      </c>
      <c r="B105" s="24" t="s">
        <v>168</v>
      </c>
      <c r="C105" s="24" t="s">
        <v>191</v>
      </c>
      <c r="D105" s="22" t="s">
        <v>2652</v>
      </c>
      <c r="E105" s="8" t="str">
        <f>HYPERLINK("https://stat100.ameba.jp/tnk47/ratio20/illustrations/card/ill_24333_inugamigyobu03.jpg", "■")</f>
        <v>■</v>
      </c>
      <c r="F105" s="1" t="s">
        <v>1438</v>
      </c>
      <c r="G105" s="1"/>
      <c r="H105" s="1" t="s">
        <v>977</v>
      </c>
      <c r="I105" s="1" t="s">
        <v>802</v>
      </c>
      <c r="J105" s="1" t="s">
        <v>802</v>
      </c>
      <c r="K105" s="1" t="s">
        <v>802</v>
      </c>
      <c r="L105" s="1" t="s">
        <v>1809</v>
      </c>
      <c r="M105" s="1" t="s">
        <v>1810</v>
      </c>
    </row>
    <row r="106" spans="1:14">
      <c r="A106" s="24">
        <v>62153</v>
      </c>
      <c r="B106" s="24" t="s">
        <v>168</v>
      </c>
      <c r="C106" s="24" t="s">
        <v>1696</v>
      </c>
      <c r="D106" s="22" t="s">
        <v>2527</v>
      </c>
      <c r="E106" s="8" t="str">
        <f>HYPERLINK("https://stat100.ameba.jp/tnk47/ratio20/illustrations/card/ill_62153_obentonekodanuki03.jpg", "■")</f>
        <v>■</v>
      </c>
      <c r="F106" s="1" t="s">
        <v>1440</v>
      </c>
      <c r="G106" s="1" t="s">
        <v>1166</v>
      </c>
      <c r="H106" s="1"/>
      <c r="I106" s="24">
        <v>26</v>
      </c>
      <c r="J106" s="24">
        <v>108330</v>
      </c>
      <c r="K106" s="24">
        <v>100744</v>
      </c>
      <c r="L106" s="1" t="s">
        <v>1812</v>
      </c>
      <c r="M106" s="1" t="s">
        <v>1813</v>
      </c>
    </row>
    <row r="107" spans="1:14">
      <c r="A107" s="24">
        <v>67243</v>
      </c>
      <c r="B107" s="24" t="s">
        <v>168</v>
      </c>
      <c r="C107" s="24" t="s">
        <v>74</v>
      </c>
      <c r="D107" s="22" t="s">
        <v>2529</v>
      </c>
      <c r="E107" s="8" t="str">
        <f>HYPERLINK("https://stat100.ameba.jp/tnk47/ratio20/illustrations/card/ill_67243_onsenyadomoryo03.jpg", "■")</f>
        <v>■</v>
      </c>
      <c r="F107" s="1" t="s">
        <v>1443</v>
      </c>
      <c r="G107" s="1"/>
      <c r="H107" s="1" t="s">
        <v>1444</v>
      </c>
      <c r="I107" s="24">
        <v>25</v>
      </c>
      <c r="J107" s="24">
        <v>96871</v>
      </c>
      <c r="K107" s="24">
        <v>104162</v>
      </c>
      <c r="L107" s="1" t="s">
        <v>1815</v>
      </c>
      <c r="M107" s="1" t="s">
        <v>934</v>
      </c>
      <c r="N107" s="1"/>
    </row>
    <row r="108" spans="1:14">
      <c r="A108" s="66">
        <v>84403</v>
      </c>
      <c r="B108" s="66" t="s">
        <v>168</v>
      </c>
      <c r="C108" s="66" t="s">
        <v>74</v>
      </c>
      <c r="D108" s="22" t="s">
        <v>3031</v>
      </c>
      <c r="E108" s="8" t="str">
        <f>HYPERLINK("https://stat100.ameba.jp/tnk47/ratio20/illustrations/card/ill_84403_dokushonokisetsuheikegani03.jpg", "■")</f>
        <v>■</v>
      </c>
      <c r="F108" s="66" t="s">
        <v>3032</v>
      </c>
      <c r="G108" s="66" t="s">
        <v>1142</v>
      </c>
      <c r="H108" s="66"/>
      <c r="I108" s="66">
        <v>25</v>
      </c>
      <c r="J108" s="66">
        <v>104162</v>
      </c>
      <c r="K108" s="66">
        <v>96871</v>
      </c>
      <c r="L108" s="66" t="s">
        <v>3033</v>
      </c>
      <c r="M108" s="66" t="s">
        <v>3099</v>
      </c>
      <c r="N108" s="66"/>
    </row>
    <row r="109" spans="1:14">
      <c r="A109" s="24">
        <v>68463</v>
      </c>
      <c r="B109" s="24" t="s">
        <v>168</v>
      </c>
      <c r="C109" s="6" t="s">
        <v>51</v>
      </c>
      <c r="D109" s="22" t="s">
        <v>2530</v>
      </c>
      <c r="E109" s="8" t="str">
        <f>HYPERLINK("https://stat100.ameba.jp/tnk47/ratio20/illustrations/card/ill_68463_sunogurabiashirubaakusechan03.jpg", "■")</f>
        <v>■</v>
      </c>
      <c r="F109" s="1" t="s">
        <v>1446</v>
      </c>
      <c r="G109" s="1"/>
      <c r="H109" s="1" t="s">
        <v>1447</v>
      </c>
      <c r="I109" s="6">
        <v>25</v>
      </c>
      <c r="J109" s="6">
        <v>106266</v>
      </c>
      <c r="K109" s="6">
        <v>98789</v>
      </c>
      <c r="L109" s="1" t="s">
        <v>1817</v>
      </c>
      <c r="M109" s="1" t="s">
        <v>2034</v>
      </c>
    </row>
    <row r="110" spans="1:14">
      <c r="A110" s="24">
        <v>69143</v>
      </c>
      <c r="B110" s="24" t="s">
        <v>168</v>
      </c>
      <c r="C110" s="24" t="s">
        <v>51</v>
      </c>
      <c r="D110" s="22" t="s">
        <v>2531</v>
      </c>
      <c r="E110" s="8" t="str">
        <f>HYPERLINK("https://stat100.ameba.jp/tnk47/ratio20/illustrations/card/ill_69143_marukamejo03.jpg", "■")</f>
        <v>■</v>
      </c>
      <c r="F110" s="1" t="s">
        <v>1448</v>
      </c>
      <c r="G110" s="1" t="s">
        <v>1072</v>
      </c>
      <c r="H110" s="1"/>
      <c r="I110" s="24">
        <v>26</v>
      </c>
      <c r="J110" s="24">
        <v>85312</v>
      </c>
      <c r="K110" s="24">
        <v>151650</v>
      </c>
      <c r="L110" s="1" t="s">
        <v>1818</v>
      </c>
      <c r="M110" s="1" t="s">
        <v>1819</v>
      </c>
    </row>
    <row r="111" spans="1:14">
      <c r="A111" s="24">
        <v>71473</v>
      </c>
      <c r="B111" s="24" t="s">
        <v>168</v>
      </c>
      <c r="C111" s="24" t="s">
        <v>51</v>
      </c>
      <c r="D111" s="22" t="s">
        <v>2532</v>
      </c>
      <c r="E111" s="8" t="str">
        <f>HYPERLINK("https://stat100.ameba.jp/tnk47/ratio20/illustrations/card/ill_71473_nyugakushikishirubaakusechan03.jpg", "■")</f>
        <v>■</v>
      </c>
      <c r="F111" s="1" t="s">
        <v>1449</v>
      </c>
      <c r="G111" s="1"/>
      <c r="H111" s="1" t="s">
        <v>3189</v>
      </c>
      <c r="I111" s="1">
        <v>24</v>
      </c>
      <c r="J111" s="1">
        <v>109334</v>
      </c>
      <c r="K111" s="1">
        <v>101656</v>
      </c>
      <c r="L111" s="1" t="s">
        <v>1820</v>
      </c>
      <c r="M111" s="1" t="s">
        <v>1996</v>
      </c>
    </row>
    <row r="112" spans="1:14">
      <c r="A112" s="24">
        <v>78293</v>
      </c>
      <c r="B112" s="24" t="s">
        <v>168</v>
      </c>
      <c r="C112" s="24" t="s">
        <v>51</v>
      </c>
      <c r="D112" s="22" t="s">
        <v>2533</v>
      </c>
      <c r="E112" s="8" t="str">
        <f>HYPERLINK("https://stat100.ameba.jp/tnk47/ratio20/illustrations/card/ill_78293_yukinotaawaodori03.jpg", "■")</f>
        <v>■</v>
      </c>
      <c r="F112" s="1" t="s">
        <v>1450</v>
      </c>
      <c r="G112" s="1"/>
      <c r="H112" s="1" t="s">
        <v>1451</v>
      </c>
      <c r="I112" s="24">
        <v>26</v>
      </c>
      <c r="J112" s="24">
        <v>110126</v>
      </c>
      <c r="K112" s="24">
        <v>118446</v>
      </c>
      <c r="L112" s="1" t="s">
        <v>1821</v>
      </c>
      <c r="M112" s="1" t="s">
        <v>1245</v>
      </c>
    </row>
    <row r="113" spans="1:13">
      <c r="A113" s="24">
        <v>83353</v>
      </c>
      <c r="B113" s="24" t="s">
        <v>168</v>
      </c>
      <c r="C113" s="24" t="s">
        <v>51</v>
      </c>
      <c r="D113" s="22" t="s">
        <v>2534</v>
      </c>
      <c r="E113" s="8" t="str">
        <f>HYPERLINK("https://stat100.ameba.jp/tnk47/ratio20/illustrations/card/ill_83353_kunoichikumanofudechan03.jpg", "■")</f>
        <v>■</v>
      </c>
      <c r="F113" s="1" t="s">
        <v>1452</v>
      </c>
      <c r="G113" s="1"/>
      <c r="H113" s="1" t="s">
        <v>3035</v>
      </c>
      <c r="I113" s="24">
        <v>25</v>
      </c>
      <c r="J113" s="24">
        <v>113890</v>
      </c>
      <c r="K113" s="24">
        <v>105890</v>
      </c>
      <c r="L113" s="1" t="s">
        <v>1822</v>
      </c>
      <c r="M113" s="1" t="s">
        <v>1823</v>
      </c>
    </row>
    <row r="114" spans="1:13">
      <c r="A114" s="24">
        <v>53993</v>
      </c>
      <c r="B114" s="24" t="s">
        <v>168</v>
      </c>
      <c r="C114" s="24" t="s">
        <v>87</v>
      </c>
      <c r="D114" s="22" t="s">
        <v>2201</v>
      </c>
      <c r="E114" s="8" t="str">
        <f>HYPERLINK("https://stat100.ameba.jp/tnk47/ratio20/illustrations/card/ill_53993_seiryumeguriakashirejina03.jpg", "■")</f>
        <v>■</v>
      </c>
      <c r="F114" s="1" t="s">
        <v>1453</v>
      </c>
      <c r="G114" s="1"/>
      <c r="H114" s="1" t="s">
        <v>1454</v>
      </c>
      <c r="I114" s="1">
        <v>25</v>
      </c>
      <c r="J114" s="1">
        <v>96360</v>
      </c>
      <c r="K114" s="1">
        <v>89590</v>
      </c>
      <c r="L114" s="1" t="s">
        <v>1824</v>
      </c>
      <c r="M114" s="1" t="s">
        <v>2035</v>
      </c>
    </row>
    <row r="115" spans="1:13">
      <c r="A115" s="24">
        <v>56443</v>
      </c>
      <c r="B115" s="24" t="s">
        <v>168</v>
      </c>
      <c r="C115" s="24" t="s">
        <v>87</v>
      </c>
      <c r="D115" s="22" t="s">
        <v>2535</v>
      </c>
      <c r="E115" s="8" t="str">
        <f>HYPERLINK("https://stat100.ameba.jp/tnk47/ratio20/illustrations/card/ill_56443_poppukurisumasuizumonokuni03.jpg", "■")</f>
        <v>■</v>
      </c>
      <c r="F115" s="1" t="s">
        <v>1455</v>
      </c>
      <c r="G115" s="1" t="s">
        <v>1456</v>
      </c>
      <c r="H115" s="1" t="s">
        <v>1457</v>
      </c>
      <c r="I115" s="24">
        <v>25</v>
      </c>
      <c r="J115" s="24">
        <v>89590</v>
      </c>
      <c r="K115" s="24">
        <v>96360</v>
      </c>
      <c r="L115" s="1" t="s">
        <v>1825</v>
      </c>
      <c r="M115" s="1" t="s">
        <v>2036</v>
      </c>
    </row>
    <row r="116" spans="1:13">
      <c r="A116" s="24">
        <v>62323</v>
      </c>
      <c r="B116" s="24" t="s">
        <v>313</v>
      </c>
      <c r="C116" s="24" t="s">
        <v>169</v>
      </c>
      <c r="D116" s="22" t="s">
        <v>2536</v>
      </c>
      <c r="E116" s="8" t="str">
        <f>HYPERLINK("https://stat100.ameba.jp/tnk47/ratio20/illustrations/card/ill_62323_raishunsui03.jpg", "■")</f>
        <v>■</v>
      </c>
      <c r="F116" s="1" t="s">
        <v>1458</v>
      </c>
      <c r="G116" s="1" t="s">
        <v>1459</v>
      </c>
      <c r="H116" s="1"/>
      <c r="I116" s="24">
        <v>24</v>
      </c>
      <c r="J116" s="6">
        <v>65128</v>
      </c>
      <c r="K116" s="6">
        <v>115746</v>
      </c>
      <c r="L116" s="1" t="s">
        <v>1826</v>
      </c>
      <c r="M116" s="1" t="s">
        <v>556</v>
      </c>
    </row>
    <row r="117" spans="1:13">
      <c r="A117" s="24">
        <v>67993</v>
      </c>
      <c r="B117" s="24" t="s">
        <v>313</v>
      </c>
      <c r="C117" s="24" t="s">
        <v>169</v>
      </c>
      <c r="D117" s="22" t="s">
        <v>2537</v>
      </c>
      <c r="E117" s="8" t="str">
        <f>HYPERLINK("https://stat100.ameba.jp/tnk47/ratio20/illustrations/card/ill_67993_kurisumasupateikanekomisuzu03.jpg", "■")</f>
        <v>■</v>
      </c>
      <c r="F117" s="1" t="s">
        <v>1460</v>
      </c>
      <c r="G117" s="1"/>
      <c r="H117" s="1" t="s">
        <v>1461</v>
      </c>
      <c r="I117" s="24">
        <v>25</v>
      </c>
      <c r="J117" s="24">
        <v>97651</v>
      </c>
      <c r="K117" s="24">
        <v>90759</v>
      </c>
      <c r="L117" s="1" t="s">
        <v>1827</v>
      </c>
      <c r="M117" s="1" t="s">
        <v>2037</v>
      </c>
    </row>
    <row r="118" spans="1:13">
      <c r="A118" s="24">
        <v>75793</v>
      </c>
      <c r="B118" s="24" t="s">
        <v>168</v>
      </c>
      <c r="C118" s="24" t="s">
        <v>87</v>
      </c>
      <c r="D118" s="22" t="s">
        <v>2538</v>
      </c>
      <c r="E118" s="8" t="str">
        <f>HYPERLINK("https://stat100.ameba.jp/tnk47/ratio20/illustrations/card/ill_75793_izumonokuni03.jpg", "■")</f>
        <v>■</v>
      </c>
      <c r="F118" s="1" t="s">
        <v>1462</v>
      </c>
      <c r="G118" s="1"/>
      <c r="H118" s="1" t="s">
        <v>1463</v>
      </c>
      <c r="I118" s="24">
        <v>25</v>
      </c>
      <c r="J118" s="24">
        <v>90759</v>
      </c>
      <c r="K118" s="24">
        <v>97651</v>
      </c>
      <c r="L118" s="1" t="s">
        <v>1828</v>
      </c>
      <c r="M118" s="1" t="s">
        <v>556</v>
      </c>
    </row>
    <row r="119" spans="1:13">
      <c r="A119" s="24">
        <v>82033</v>
      </c>
      <c r="B119" s="24" t="s">
        <v>168</v>
      </c>
      <c r="C119" s="24" t="s">
        <v>1179</v>
      </c>
      <c r="D119" s="22" t="s">
        <v>2539</v>
      </c>
      <c r="E119" s="8" t="str">
        <f>HYPERLINK("https://stat100.ameba.jp/tnk47/ratio20/illustrations/card/ill_82033_chichinohiakashirejina03.jpg", "■")</f>
        <v>■</v>
      </c>
      <c r="F119" s="1" t="s">
        <v>1464</v>
      </c>
      <c r="G119" s="1"/>
      <c r="H119" s="1" t="s">
        <v>3337</v>
      </c>
      <c r="I119" s="24">
        <v>26</v>
      </c>
      <c r="J119" s="24">
        <v>101558</v>
      </c>
      <c r="K119" s="24">
        <v>94390</v>
      </c>
      <c r="L119" s="1" t="s">
        <v>1829</v>
      </c>
      <c r="M119" s="1" t="s">
        <v>1830</v>
      </c>
    </row>
    <row r="120" spans="1:13">
      <c r="A120" s="24">
        <v>59743</v>
      </c>
      <c r="B120" s="24" t="s">
        <v>168</v>
      </c>
      <c r="C120" s="24" t="s">
        <v>1175</v>
      </c>
      <c r="D120" s="22" t="s">
        <v>2653</v>
      </c>
      <c r="E120" s="8" t="str">
        <f>HYPERLINK("https://stat100.ameba.jp/tnk47/ratio20/illustrations/card/ill_59743_kaitokiuifurutsuchan03.jpg", "■")</f>
        <v>■</v>
      </c>
      <c r="F120" s="1" t="s">
        <v>1465</v>
      </c>
      <c r="G120" s="1"/>
      <c r="H120" s="1" t="s">
        <v>1466</v>
      </c>
      <c r="I120" s="24">
        <v>24</v>
      </c>
      <c r="J120" s="24">
        <v>105394</v>
      </c>
      <c r="K120" s="24">
        <v>113340</v>
      </c>
      <c r="L120" s="24" t="s">
        <v>1831</v>
      </c>
      <c r="M120" s="24" t="s">
        <v>153</v>
      </c>
    </row>
    <row r="121" spans="1:13">
      <c r="A121" s="24">
        <v>74993</v>
      </c>
      <c r="B121" s="24" t="s">
        <v>168</v>
      </c>
      <c r="C121" s="24" t="s">
        <v>149</v>
      </c>
      <c r="D121" s="22" t="s">
        <v>2540</v>
      </c>
      <c r="E121" s="8" t="str">
        <f>HYPERLINK("https://stat100.ameba.jp/tnk47/ratio20/illustrations/card/ill_74993_demikatsudon03.jpg", "■")</f>
        <v>■</v>
      </c>
      <c r="F121" s="1" t="s">
        <v>1467</v>
      </c>
      <c r="G121" s="1"/>
      <c r="H121" s="1" t="s">
        <v>1468</v>
      </c>
      <c r="I121" s="1">
        <v>24</v>
      </c>
      <c r="J121" s="1">
        <v>142674</v>
      </c>
      <c r="K121" s="1">
        <v>132658</v>
      </c>
      <c r="L121" s="1" t="s">
        <v>1832</v>
      </c>
      <c r="M121" s="1" t="s">
        <v>1833</v>
      </c>
    </row>
    <row r="122" spans="1:13">
      <c r="A122" s="24">
        <v>81143</v>
      </c>
      <c r="B122" s="24" t="s">
        <v>168</v>
      </c>
      <c r="C122" s="24" t="s">
        <v>6</v>
      </c>
      <c r="D122" s="22" t="s">
        <v>2541</v>
      </c>
      <c r="E122" s="8" t="str">
        <f>HYPERLINK("https://stat100.ameba.jp/tnk47/ratio20/illustrations/card/ill_81143_shinryokunokisetsumerompan03.jpg", "■")</f>
        <v>■</v>
      </c>
      <c r="F122" s="1" t="s">
        <v>1471</v>
      </c>
      <c r="G122" s="1" t="s">
        <v>1166</v>
      </c>
      <c r="H122" s="1"/>
      <c r="I122" s="6">
        <v>25</v>
      </c>
      <c r="J122" s="24">
        <v>118063</v>
      </c>
      <c r="K122" s="24">
        <v>109786</v>
      </c>
      <c r="L122" s="1" t="s">
        <v>1835</v>
      </c>
      <c r="M122" s="1" t="s">
        <v>1721</v>
      </c>
    </row>
    <row r="123" spans="1:13">
      <c r="A123" s="24">
        <v>84753</v>
      </c>
      <c r="B123" s="24" t="s">
        <v>168</v>
      </c>
      <c r="C123" s="24" t="s">
        <v>149</v>
      </c>
      <c r="D123" s="22" t="s">
        <v>2203</v>
      </c>
      <c r="E123" s="8" t="str">
        <f>HYPERLINK("https://stat100.ameba.jp/tnk47/ratio20/illustrations/card/ill_84753_haroimpampukinkuin03.jpg", "■")</f>
        <v>■</v>
      </c>
      <c r="F123" s="1" t="s">
        <v>1472</v>
      </c>
      <c r="G123" s="1" t="s">
        <v>1072</v>
      </c>
      <c r="H123" s="1"/>
      <c r="I123" s="1">
        <v>25</v>
      </c>
      <c r="J123" s="1">
        <v>139986</v>
      </c>
      <c r="K123" s="1">
        <v>78748</v>
      </c>
      <c r="L123" s="1" t="s">
        <v>1836</v>
      </c>
      <c r="M123" s="1" t="s">
        <v>923</v>
      </c>
    </row>
    <row r="124" spans="1:13">
      <c r="A124" s="24">
        <v>66053</v>
      </c>
      <c r="B124" s="24" t="s">
        <v>168</v>
      </c>
      <c r="C124" s="24" t="s">
        <v>174</v>
      </c>
      <c r="D124" s="22" t="s">
        <v>2542</v>
      </c>
      <c r="E124" s="8" t="str">
        <f>HYPERLINK("https://stat100.ameba.jp/tnk47/ratio20/illustrations/card/ill_66053_serebukushiyatamanokami03.jpg", "■")</f>
        <v>■</v>
      </c>
      <c r="F124" s="1" t="s">
        <v>1949</v>
      </c>
      <c r="G124" s="1"/>
      <c r="H124" s="1"/>
      <c r="I124" s="24">
        <v>25</v>
      </c>
      <c r="J124" s="24">
        <v>101971</v>
      </c>
      <c r="K124" s="24">
        <v>94802</v>
      </c>
      <c r="L124" s="1" t="s">
        <v>1837</v>
      </c>
      <c r="M124" s="1" t="s">
        <v>1838</v>
      </c>
    </row>
    <row r="125" spans="1:13">
      <c r="A125" s="24">
        <v>70673</v>
      </c>
      <c r="B125" s="24" t="s">
        <v>313</v>
      </c>
      <c r="C125" s="24" t="s">
        <v>67</v>
      </c>
      <c r="D125" s="22" t="s">
        <v>2543</v>
      </c>
      <c r="E125" s="8" t="str">
        <f>HYPERLINK("https://stat100.ameba.jp/tnk47/ratio20/illustrations/card/ill_70673_shitsujikissakibinoanawatarinokami03.jpg", "■")</f>
        <v>■</v>
      </c>
      <c r="F125" s="1" t="s">
        <v>1474</v>
      </c>
      <c r="G125" s="1"/>
      <c r="H125" s="1" t="s">
        <v>1470</v>
      </c>
      <c r="I125" s="1">
        <v>12</v>
      </c>
      <c r="J125" s="1">
        <v>48947</v>
      </c>
      <c r="K125" s="1">
        <v>45505</v>
      </c>
      <c r="L125" s="1" t="s">
        <v>1840</v>
      </c>
      <c r="M125" s="1" t="s">
        <v>816</v>
      </c>
    </row>
    <row r="126" spans="1:13">
      <c r="A126" s="24">
        <v>74923</v>
      </c>
      <c r="B126" s="24" t="s">
        <v>313</v>
      </c>
      <c r="C126" s="24" t="s">
        <v>67</v>
      </c>
      <c r="D126" s="22" t="s">
        <v>2544</v>
      </c>
      <c r="E126" s="8" t="str">
        <f>HYPERLINK("https://stat100.ameba.jp/tnk47/ratio20/illustrations/card/ill_74923_amenoshihomimi03.jpg", "■")</f>
        <v>■</v>
      </c>
      <c r="F126" s="1" t="s">
        <v>1475</v>
      </c>
      <c r="G126" s="1" t="s">
        <v>1284</v>
      </c>
      <c r="H126" s="1"/>
      <c r="I126" s="24">
        <v>25</v>
      </c>
      <c r="J126" s="24">
        <v>70844</v>
      </c>
      <c r="K126" s="24">
        <v>125931</v>
      </c>
      <c r="L126" s="1" t="s">
        <v>1841</v>
      </c>
      <c r="M126" s="1" t="s">
        <v>797</v>
      </c>
    </row>
    <row r="127" spans="1:13">
      <c r="A127" s="24">
        <v>67463</v>
      </c>
      <c r="B127" s="24" t="s">
        <v>313</v>
      </c>
      <c r="C127" s="24" t="s">
        <v>26</v>
      </c>
      <c r="D127" s="22" t="s">
        <v>2546</v>
      </c>
      <c r="E127" s="8" t="str">
        <f>HYPERLINK("https://stat100.ameba.jp/tnk47/ratio20/illustrations/card/ill_67463_yoigokochiizumonokuni03.jpg", "■")</f>
        <v>■</v>
      </c>
      <c r="F127" s="1" t="s">
        <v>1476</v>
      </c>
      <c r="G127" s="1"/>
      <c r="H127" s="1" t="s">
        <v>1477</v>
      </c>
      <c r="I127" s="24">
        <v>26</v>
      </c>
      <c r="J127" s="24">
        <v>105426</v>
      </c>
      <c r="K127" s="24">
        <v>98066</v>
      </c>
      <c r="L127" s="1" t="s">
        <v>1844</v>
      </c>
      <c r="M127" s="1" t="s">
        <v>927</v>
      </c>
    </row>
    <row r="128" spans="1:13">
      <c r="A128" s="24"/>
      <c r="B128" s="24"/>
      <c r="C128" s="24"/>
      <c r="D128" s="1"/>
      <c r="F128" s="1"/>
      <c r="G128" s="1"/>
      <c r="H128" s="1"/>
      <c r="I128" s="1"/>
      <c r="J128" s="1"/>
      <c r="K128" s="1"/>
      <c r="L128" s="1"/>
      <c r="M128" s="1"/>
    </row>
    <row r="129" spans="1:13">
      <c r="A129" s="24">
        <v>52853</v>
      </c>
      <c r="B129" s="24" t="s">
        <v>1161</v>
      </c>
      <c r="C129" s="24" t="s">
        <v>59</v>
      </c>
      <c r="D129" s="22" t="s">
        <v>2547</v>
      </c>
      <c r="E129" s="8" t="str">
        <f>HYPERLINK("https://stat100.ameba.jp/tnk47/ratio20/illustrations/card/ill_52853_andoroidootomosorin03.jpg", "■")</f>
        <v>■</v>
      </c>
      <c r="F129" s="1" t="s">
        <v>2089</v>
      </c>
      <c r="G129" s="1"/>
      <c r="H129" s="1" t="s">
        <v>2090</v>
      </c>
      <c r="I129" s="24">
        <v>26</v>
      </c>
      <c r="J129" s="24">
        <v>154128</v>
      </c>
      <c r="K129" s="24">
        <v>93172</v>
      </c>
      <c r="L129" s="1" t="s">
        <v>1847</v>
      </c>
      <c r="M129" s="1" t="s">
        <v>2038</v>
      </c>
    </row>
    <row r="130" spans="1:13">
      <c r="A130" s="24">
        <v>60223</v>
      </c>
      <c r="B130" s="24" t="s">
        <v>316</v>
      </c>
      <c r="C130" s="24" t="s">
        <v>489</v>
      </c>
      <c r="D130" s="26" t="s">
        <v>2548</v>
      </c>
      <c r="E130" s="8" t="str">
        <f>HYPERLINK("https://stat100.ameba.jp/tnk47/ratio20/illustrations/card/ill_60223_soyoshitoshi03.jpg", "■")</f>
        <v>■</v>
      </c>
      <c r="F130" s="24" t="s">
        <v>1480</v>
      </c>
      <c r="G130" s="1" t="s">
        <v>1481</v>
      </c>
      <c r="H130" s="1"/>
      <c r="I130" s="24">
        <v>26</v>
      </c>
      <c r="J130" s="24">
        <v>111644</v>
      </c>
      <c r="K130" s="24">
        <v>154154</v>
      </c>
      <c r="L130" s="24" t="s">
        <v>2549</v>
      </c>
      <c r="M130" s="24" t="s">
        <v>2550</v>
      </c>
    </row>
    <row r="131" spans="1:13">
      <c r="A131" s="24">
        <v>72923</v>
      </c>
      <c r="B131" s="24" t="s">
        <v>1161</v>
      </c>
      <c r="C131" s="24" t="s">
        <v>96</v>
      </c>
      <c r="D131" s="26" t="s">
        <v>2551</v>
      </c>
      <c r="E131" s="8" t="str">
        <f>HYPERLINK("https://stat100.ameba.jp/tnk47/ratio20/illustrations/card/ill_72923_amenohanayomemyorinni03.jpg", "■")</f>
        <v>■</v>
      </c>
      <c r="F131" s="24" t="s">
        <v>1482</v>
      </c>
      <c r="G131" s="1" t="s">
        <v>1483</v>
      </c>
      <c r="H131" s="1"/>
      <c r="I131" s="24">
        <v>25</v>
      </c>
      <c r="J131" s="24">
        <v>138186</v>
      </c>
      <c r="K131" s="24">
        <v>148619</v>
      </c>
      <c r="L131" s="24" t="s">
        <v>1848</v>
      </c>
      <c r="M131" s="24" t="s">
        <v>2552</v>
      </c>
    </row>
    <row r="132" spans="1:13">
      <c r="A132" s="24">
        <v>55273</v>
      </c>
      <c r="B132" s="24" t="s">
        <v>1161</v>
      </c>
      <c r="C132" s="24" t="s">
        <v>59</v>
      </c>
      <c r="D132" s="22" t="s">
        <v>2553</v>
      </c>
      <c r="E132" s="8" t="str">
        <f>HYPERLINK("https://stat100.ameba.jp/tnk47/ratio20/illustrations/card/ill_55273_harointachibanamuneshige03.jpg", "■")</f>
        <v>■</v>
      </c>
      <c r="F132" s="24" t="s">
        <v>1484</v>
      </c>
      <c r="G132" s="1" t="s">
        <v>1166</v>
      </c>
      <c r="H132" s="1"/>
      <c r="I132" s="24">
        <v>24</v>
      </c>
      <c r="J132" s="24">
        <v>86006</v>
      </c>
      <c r="K132" s="24">
        <v>142272</v>
      </c>
      <c r="L132" s="24" t="s">
        <v>2554</v>
      </c>
      <c r="M132" s="24" t="s">
        <v>3100</v>
      </c>
    </row>
    <row r="133" spans="1:13">
      <c r="A133" s="24">
        <v>75573</v>
      </c>
      <c r="B133" s="6" t="s">
        <v>1161</v>
      </c>
      <c r="C133" s="6" t="s">
        <v>96</v>
      </c>
      <c r="D133" s="22" t="s">
        <v>2555</v>
      </c>
      <c r="E133" s="8" t="str">
        <f>HYPERLINK("https://stat100.ameba.jp/tnk47/ratio20/illustrations/card/ill_75573_niirotadamoto03.jpg", "■")</f>
        <v>■</v>
      </c>
      <c r="F133" s="6" t="s">
        <v>1485</v>
      </c>
      <c r="G133" s="1" t="s">
        <v>1131</v>
      </c>
      <c r="H133" s="1"/>
      <c r="I133" s="6">
        <v>25</v>
      </c>
      <c r="J133" s="6">
        <v>148619</v>
      </c>
      <c r="K133" s="6">
        <v>138186</v>
      </c>
      <c r="L133" s="6" t="s">
        <v>1849</v>
      </c>
      <c r="M133" s="6" t="s">
        <v>2021</v>
      </c>
    </row>
    <row r="134" spans="1:13">
      <c r="A134" s="56">
        <v>82613</v>
      </c>
      <c r="B134" s="6" t="s">
        <v>1161</v>
      </c>
      <c r="C134" s="6" t="s">
        <v>96</v>
      </c>
      <c r="D134" s="22" t="s">
        <v>2922</v>
      </c>
      <c r="E134" s="8" t="str">
        <f>HYPERLINK("https://stat100.ameba.jp/tnk47/ratio20/illustrations/card/ill_82613_hyokanokisetsumyorinni03.jpg", "■")</f>
        <v>■</v>
      </c>
      <c r="F134" s="56" t="s">
        <v>2924</v>
      </c>
      <c r="G134" s="56" t="s">
        <v>1389</v>
      </c>
      <c r="H134" s="56"/>
      <c r="I134" s="56">
        <v>26</v>
      </c>
      <c r="J134" s="56">
        <v>143714</v>
      </c>
      <c r="K134" s="56">
        <v>154562</v>
      </c>
      <c r="L134" s="56" t="s">
        <v>2923</v>
      </c>
      <c r="M134" s="56" t="s">
        <v>3101</v>
      </c>
    </row>
    <row r="135" spans="1:13">
      <c r="A135" s="24">
        <v>72583</v>
      </c>
      <c r="B135" s="24" t="s">
        <v>316</v>
      </c>
      <c r="C135" s="24" t="s">
        <v>209</v>
      </c>
      <c r="D135" s="26" t="s">
        <v>2556</v>
      </c>
      <c r="E135" s="8" t="str">
        <f>HYPERLINK("https://stat100.ameba.jp/tnk47/ratio20/illustrations/card/ill_72583_itohime03.jpg", "■")</f>
        <v>■</v>
      </c>
      <c r="F135" s="24" t="s">
        <v>1486</v>
      </c>
      <c r="G135" s="1" t="s">
        <v>1166</v>
      </c>
      <c r="H135" s="1"/>
      <c r="I135" s="24">
        <v>26</v>
      </c>
      <c r="J135" s="24">
        <v>125392</v>
      </c>
      <c r="K135" s="24">
        <v>70556</v>
      </c>
      <c r="L135" s="24" t="s">
        <v>1850</v>
      </c>
      <c r="M135" s="24" t="s">
        <v>1227</v>
      </c>
    </row>
    <row r="136" spans="1:13">
      <c r="A136" s="24">
        <v>65093</v>
      </c>
      <c r="B136" s="24" t="s">
        <v>1161</v>
      </c>
      <c r="C136" s="24" t="s">
        <v>209</v>
      </c>
      <c r="D136" s="26" t="s">
        <v>2206</v>
      </c>
      <c r="E136" s="8" t="str">
        <f>HYPERLINK("https://stat100.ameba.jp/tnk47/ratio20/illustrations/card/ill_65093_kyusukumizutachibanaginchiyo03.jpg", "■")</f>
        <v>■</v>
      </c>
      <c r="F136" s="24" t="s">
        <v>1487</v>
      </c>
      <c r="G136" s="1" t="s">
        <v>1334</v>
      </c>
      <c r="H136" s="1"/>
      <c r="I136" s="24">
        <v>26</v>
      </c>
      <c r="J136" s="24">
        <v>84578</v>
      </c>
      <c r="K136" s="24">
        <v>78754</v>
      </c>
      <c r="L136" s="24" t="s">
        <v>1851</v>
      </c>
      <c r="M136" s="24" t="s">
        <v>1227</v>
      </c>
    </row>
    <row r="137" spans="1:13">
      <c r="A137" s="54">
        <v>81423</v>
      </c>
      <c r="B137" s="54" t="s">
        <v>1161</v>
      </c>
      <c r="C137" s="54" t="s">
        <v>209</v>
      </c>
      <c r="D137" s="26" t="s">
        <v>2904</v>
      </c>
      <c r="E137" s="8" t="str">
        <f>HYPERLINK("https://stat100.ameba.jp/tnk47/ratio20/illustrations/card/ill_81423_harunotaiikusaiamahime03.jpg", "■")</f>
        <v>■</v>
      </c>
      <c r="F137" s="54" t="s">
        <v>2906</v>
      </c>
      <c r="G137" s="54" t="s">
        <v>2905</v>
      </c>
      <c r="H137" s="54"/>
      <c r="I137" s="54">
        <v>25</v>
      </c>
      <c r="J137" s="54">
        <v>97651</v>
      </c>
      <c r="K137" s="54">
        <v>90759</v>
      </c>
      <c r="L137" s="54" t="s">
        <v>2907</v>
      </c>
      <c r="M137" s="54" t="s">
        <v>1988</v>
      </c>
    </row>
    <row r="138" spans="1:13">
      <c r="A138" s="67">
        <v>84033</v>
      </c>
      <c r="B138" s="67" t="s">
        <v>1161</v>
      </c>
      <c r="C138" s="67" t="s">
        <v>209</v>
      </c>
      <c r="D138" s="26" t="s">
        <v>3044</v>
      </c>
      <c r="E138" s="8" t="str">
        <f>HYPERLINK("https://stat100.ameba.jp/tnk47/ratio20/illustrations/card/ill_84033_ogiyaka03.jpg", "■")</f>
        <v>■</v>
      </c>
      <c r="F138" s="67" t="s">
        <v>3045</v>
      </c>
      <c r="G138" s="67" t="s">
        <v>1288</v>
      </c>
      <c r="H138" s="67"/>
      <c r="I138" s="67">
        <v>27</v>
      </c>
      <c r="J138" s="67">
        <v>98019</v>
      </c>
      <c r="K138" s="67">
        <v>105465</v>
      </c>
      <c r="L138" s="67" t="s">
        <v>3046</v>
      </c>
      <c r="M138" s="67" t="s">
        <v>798</v>
      </c>
    </row>
    <row r="139" spans="1:13">
      <c r="A139" s="24">
        <v>75723</v>
      </c>
      <c r="B139" s="24" t="s">
        <v>316</v>
      </c>
      <c r="C139" s="24" t="s">
        <v>154</v>
      </c>
      <c r="D139" s="22" t="s">
        <v>2207</v>
      </c>
      <c r="E139" s="8" t="str">
        <f>HYPERLINK("https://stat100.ameba.jp/tnk47/ratio20/illustrations/card/ill_75723_shirokitsunenooshibai03.jpg", "■")</f>
        <v>■</v>
      </c>
      <c r="F139" s="1" t="s">
        <v>1488</v>
      </c>
      <c r="G139" s="1" t="s">
        <v>1196</v>
      </c>
      <c r="H139" s="1"/>
      <c r="I139" s="1">
        <v>25</v>
      </c>
      <c r="J139" s="1">
        <v>140761</v>
      </c>
      <c r="K139" s="1">
        <v>79221</v>
      </c>
      <c r="L139" s="1" t="s">
        <v>1852</v>
      </c>
      <c r="M139" s="1" t="s">
        <v>2039</v>
      </c>
    </row>
    <row r="140" spans="1:13">
      <c r="A140" s="24">
        <v>81743</v>
      </c>
      <c r="B140" s="24" t="s">
        <v>1161</v>
      </c>
      <c r="C140" s="24" t="s">
        <v>154</v>
      </c>
      <c r="D140" s="22" t="s">
        <v>2557</v>
      </c>
      <c r="E140" s="8" t="str">
        <f>HYPERLINK("https://stat100.ameba.jp/tnk47/ratio20/illustrations/card/ill_81743_denshagarusakyogabashinohebi03.jpg", "■")</f>
        <v>■</v>
      </c>
      <c r="F140" s="1" t="s">
        <v>1489</v>
      </c>
      <c r="G140" s="1" t="s">
        <v>1490</v>
      </c>
      <c r="H140" s="1"/>
      <c r="I140" s="24">
        <v>25</v>
      </c>
      <c r="J140" s="24">
        <v>114092</v>
      </c>
      <c r="K140" s="24">
        <v>105890</v>
      </c>
      <c r="L140" s="1" t="s">
        <v>1853</v>
      </c>
      <c r="M140" s="1" t="s">
        <v>1705</v>
      </c>
    </row>
    <row r="141" spans="1:13">
      <c r="A141" s="24">
        <v>70023</v>
      </c>
      <c r="B141" s="24" t="s">
        <v>2559</v>
      </c>
      <c r="C141" s="24" t="s">
        <v>1696</v>
      </c>
      <c r="D141" s="26" t="s">
        <v>2558</v>
      </c>
      <c r="E141" s="8" t="str">
        <f>HYPERLINK("https://stat100.ameba.jp/tnk47/ratio20/illustrations/card/ill_70023_yukinoukokunabeshimanobakeneko03.jpg", "■")</f>
        <v>■</v>
      </c>
      <c r="F141" s="24" t="s">
        <v>2560</v>
      </c>
      <c r="G141" s="1" t="s">
        <v>1131</v>
      </c>
      <c r="H141" s="1"/>
      <c r="I141" s="24">
        <v>25</v>
      </c>
      <c r="J141" s="24">
        <v>96871</v>
      </c>
      <c r="K141" s="24">
        <v>104162</v>
      </c>
      <c r="L141" s="24" t="s">
        <v>2561</v>
      </c>
      <c r="M141" s="24" t="s">
        <v>2562</v>
      </c>
    </row>
    <row r="142" spans="1:13">
      <c r="A142" s="24">
        <v>67533</v>
      </c>
      <c r="B142" s="24" t="s">
        <v>1161</v>
      </c>
      <c r="C142" s="24" t="s">
        <v>1696</v>
      </c>
      <c r="D142" s="22" t="s">
        <v>2563</v>
      </c>
      <c r="E142" s="8" t="str">
        <f>HYPERLINK("https://stat100.ameba.jp/tnk47/ratio20/illustrations/card/ill_67533_makkurazore03.jpg", "■")</f>
        <v>■</v>
      </c>
      <c r="F142" s="24" t="s">
        <v>2564</v>
      </c>
      <c r="G142" s="1" t="s">
        <v>1259</v>
      </c>
      <c r="H142" s="1"/>
      <c r="I142" s="24">
        <v>26</v>
      </c>
      <c r="J142" s="24">
        <v>73272</v>
      </c>
      <c r="K142" s="24">
        <v>130220</v>
      </c>
      <c r="L142" s="24" t="s">
        <v>2565</v>
      </c>
      <c r="M142" s="24" t="s">
        <v>2566</v>
      </c>
    </row>
    <row r="143" spans="1:13">
      <c r="A143" s="24">
        <v>82193</v>
      </c>
      <c r="B143" s="24" t="s">
        <v>1161</v>
      </c>
      <c r="C143" s="24" t="s">
        <v>191</v>
      </c>
      <c r="D143" s="22" t="s">
        <v>2567</v>
      </c>
      <c r="E143" s="8" t="str">
        <f>HYPERLINK("https://stat100.ameba.jp/tnk47/ratio20/illustrations/card/ill_82193_tsuyuromantatsukuchinawa03.jpg", "■")</f>
        <v>■</v>
      </c>
      <c r="F143" s="1" t="s">
        <v>1491</v>
      </c>
      <c r="G143" s="1" t="s">
        <v>1142</v>
      </c>
      <c r="H143" s="1"/>
      <c r="I143" s="24">
        <v>26</v>
      </c>
      <c r="J143" s="24">
        <v>190884</v>
      </c>
      <c r="K143" s="24">
        <v>107392</v>
      </c>
      <c r="L143" s="24" t="s">
        <v>1854</v>
      </c>
      <c r="M143" s="24" t="s">
        <v>2010</v>
      </c>
    </row>
    <row r="144" spans="1:13">
      <c r="A144" s="24">
        <v>66863</v>
      </c>
      <c r="B144" s="24" t="s">
        <v>316</v>
      </c>
      <c r="C144" s="24" t="s">
        <v>119</v>
      </c>
      <c r="D144" s="22" t="s">
        <v>2568</v>
      </c>
      <c r="E144" s="8" t="str">
        <f>HYPERLINK("https://stat100.ameba.jp/tnk47/ratio20/illustrations/card/ill_66863_haikaramomijibidorozaikuchan03.jpg", "■")</f>
        <v>■</v>
      </c>
      <c r="F144" s="24" t="s">
        <v>1492</v>
      </c>
      <c r="G144" s="1" t="s">
        <v>1204</v>
      </c>
      <c r="H144" s="24" t="s">
        <v>2609</v>
      </c>
      <c r="I144" s="24">
        <v>23</v>
      </c>
      <c r="J144" s="24">
        <v>90885</v>
      </c>
      <c r="K144" s="24">
        <v>97766</v>
      </c>
      <c r="L144" s="24" t="s">
        <v>1855</v>
      </c>
      <c r="M144" s="24" t="s">
        <v>936</v>
      </c>
    </row>
    <row r="145" spans="1:13">
      <c r="A145" s="66">
        <v>79093</v>
      </c>
      <c r="B145" s="66" t="s">
        <v>316</v>
      </c>
      <c r="C145" s="66" t="s">
        <v>119</v>
      </c>
      <c r="D145" s="22" t="s">
        <v>3026</v>
      </c>
      <c r="E145" s="8" t="str">
        <f>HYPERLINK("https://stat100.ameba.jp/tnk47/ratio20/illustrations/card/ill_79093_shinnenongakukaihakatabijin03.jpg", "■")</f>
        <v>■</v>
      </c>
      <c r="F145" s="66" t="s">
        <v>3027</v>
      </c>
      <c r="H145" s="66" t="s">
        <v>3034</v>
      </c>
      <c r="I145" s="66">
        <v>25</v>
      </c>
      <c r="J145" s="66">
        <v>105890</v>
      </c>
      <c r="K145" s="66">
        <v>113890</v>
      </c>
      <c r="L145" s="66" t="s">
        <v>3025</v>
      </c>
      <c r="M145" s="66" t="s">
        <v>1245</v>
      </c>
    </row>
    <row r="146" spans="1:13">
      <c r="A146" s="66">
        <v>88793</v>
      </c>
      <c r="B146" s="66" t="s">
        <v>316</v>
      </c>
      <c r="C146" s="66" t="s">
        <v>119</v>
      </c>
      <c r="D146" s="66" t="s">
        <v>3028</v>
      </c>
      <c r="E146" s="8" t="str">
        <f>HYPERLINK("https://stat100.ameba.jp/tnk47/ratio20/illustrations/card/ill_88793_ichigogariyakushimachan03.jpg", "■")</f>
        <v>■</v>
      </c>
      <c r="F146" s="66" t="s">
        <v>3029</v>
      </c>
      <c r="G146" s="2" t="s">
        <v>1072</v>
      </c>
      <c r="H146" s="66"/>
      <c r="I146" s="66">
        <v>25</v>
      </c>
      <c r="J146" s="66">
        <v>105890</v>
      </c>
      <c r="K146" s="66">
        <v>113890</v>
      </c>
      <c r="L146" s="66" t="s">
        <v>3030</v>
      </c>
      <c r="M146" s="66" t="s">
        <v>2018</v>
      </c>
    </row>
    <row r="147" spans="1:13">
      <c r="A147" s="24">
        <v>83603</v>
      </c>
      <c r="B147" s="24" t="s">
        <v>316</v>
      </c>
      <c r="C147" s="24" t="s">
        <v>169</v>
      </c>
      <c r="D147" s="26" t="s">
        <v>1494</v>
      </c>
      <c r="E147" s="8" t="str">
        <f>HYPERLINK("https://stat100.ameba.jp/tnk47/ratio20/illustrations/card/ill_83603_yuenchihazadojingukogo03.jpg", "■")</f>
        <v>■</v>
      </c>
      <c r="F147" s="24" t="s">
        <v>2569</v>
      </c>
      <c r="G147" s="1"/>
      <c r="H147" s="1" t="s">
        <v>1495</v>
      </c>
      <c r="I147" s="24">
        <v>26</v>
      </c>
      <c r="J147" s="24">
        <v>94390</v>
      </c>
      <c r="K147" s="24">
        <v>101558</v>
      </c>
      <c r="L147" s="24" t="s">
        <v>2570</v>
      </c>
      <c r="M147" s="24" t="s">
        <v>1856</v>
      </c>
    </row>
    <row r="148" spans="1:13">
      <c r="A148" s="66">
        <v>85883</v>
      </c>
      <c r="B148" s="66" t="s">
        <v>316</v>
      </c>
      <c r="C148" s="66" t="s">
        <v>169</v>
      </c>
      <c r="D148" s="26" t="s">
        <v>3039</v>
      </c>
      <c r="E148" s="8" t="str">
        <f>HYPERLINK("https://stat100.ameba.jp/tnk47/ratio20/illustrations/card/ill_85883_omochapapettomasuta03.jpg?201912-X-RELEASE-GP-create-table", "■")</f>
        <v>■</v>
      </c>
      <c r="F148" s="66" t="s">
        <v>3040</v>
      </c>
      <c r="G148" s="66" t="s">
        <v>1389</v>
      </c>
      <c r="H148" s="66"/>
      <c r="I148" s="66">
        <v>25</v>
      </c>
      <c r="J148" s="66">
        <v>120570</v>
      </c>
      <c r="K148" s="66">
        <v>67842</v>
      </c>
      <c r="L148" s="66" t="s">
        <v>3041</v>
      </c>
      <c r="M148" s="66" t="s">
        <v>1778</v>
      </c>
    </row>
    <row r="149" spans="1:13">
      <c r="A149" s="24">
        <v>86533</v>
      </c>
      <c r="B149" s="24" t="s">
        <v>1161</v>
      </c>
      <c r="C149" s="24" t="s">
        <v>149</v>
      </c>
      <c r="D149" s="22" t="s">
        <v>2212</v>
      </c>
      <c r="E149" s="8" t="str">
        <f>HYPERLINK("https://stat100.ameba.jp/tnk47/ratio20/illustrations/card/ill_86533_onikirishuyoriyorichan03.jpg", "■")</f>
        <v>■</v>
      </c>
      <c r="F149" s="1" t="s">
        <v>1499</v>
      </c>
      <c r="G149" s="1"/>
      <c r="H149" s="1" t="s">
        <v>1500</v>
      </c>
      <c r="I149" s="1">
        <v>25</v>
      </c>
      <c r="J149" s="1">
        <v>105890</v>
      </c>
      <c r="K149" s="1">
        <v>113890</v>
      </c>
      <c r="L149" s="1" t="s">
        <v>1857</v>
      </c>
      <c r="M149" s="1" t="s">
        <v>1858</v>
      </c>
    </row>
    <row r="150" spans="1:13">
      <c r="A150" s="24">
        <v>51893</v>
      </c>
      <c r="B150" s="24" t="s">
        <v>1161</v>
      </c>
      <c r="C150" s="24" t="s">
        <v>67</v>
      </c>
      <c r="D150" s="24" t="s">
        <v>2571</v>
      </c>
      <c r="E150" s="8" t="str">
        <f>HYPERLINK("https://stat100.ameba.jp/tnk47/ratio20/illustrations/card/ill_51893_kemonomizugitakachihonomine03.jpg", "■")</f>
        <v>■</v>
      </c>
      <c r="F150" s="24" t="s">
        <v>1501</v>
      </c>
      <c r="G150" s="1"/>
      <c r="H150" s="1" t="s">
        <v>3210</v>
      </c>
      <c r="I150" s="24">
        <v>22</v>
      </c>
      <c r="J150" s="24">
        <v>78838</v>
      </c>
      <c r="K150" s="24">
        <v>84796</v>
      </c>
      <c r="L150" s="24" t="s">
        <v>2572</v>
      </c>
      <c r="M150" s="24" t="s">
        <v>954</v>
      </c>
    </row>
    <row r="151" spans="1:13">
      <c r="A151" s="24">
        <v>86943</v>
      </c>
      <c r="B151" s="24" t="s">
        <v>1161</v>
      </c>
      <c r="C151" s="24" t="s">
        <v>174</v>
      </c>
      <c r="D151" s="22" t="s">
        <v>2573</v>
      </c>
      <c r="E151" s="8" t="str">
        <f>HYPERLINK("https://stat100.ameba.jp/tnk47/ratio20/illustrations/card/ill_86943_setsubunhaniyasu03.jpg", "■")</f>
        <v>■</v>
      </c>
      <c r="F151" s="1" t="s">
        <v>1502</v>
      </c>
      <c r="G151" s="1"/>
      <c r="H151" s="1" t="s">
        <v>1503</v>
      </c>
      <c r="I151" s="24">
        <v>25</v>
      </c>
      <c r="J151" s="24">
        <v>101971</v>
      </c>
      <c r="K151" s="24">
        <v>94802</v>
      </c>
      <c r="L151" s="1" t="s">
        <v>1859</v>
      </c>
      <c r="M151" s="1" t="s">
        <v>2020</v>
      </c>
    </row>
    <row r="152" spans="1:13">
      <c r="A152" s="24"/>
      <c r="B152" s="24"/>
      <c r="C152" s="24"/>
      <c r="D152" s="1"/>
      <c r="F152" s="1"/>
      <c r="G152" s="1"/>
      <c r="H152" s="1"/>
      <c r="I152" s="1"/>
      <c r="J152" s="1"/>
      <c r="K152" s="1"/>
      <c r="L152" s="1"/>
      <c r="M152" s="1"/>
    </row>
    <row r="153" spans="1:13">
      <c r="A153" s="24">
        <v>75883</v>
      </c>
      <c r="B153" s="24" t="s">
        <v>37</v>
      </c>
      <c r="C153" s="24" t="s">
        <v>96</v>
      </c>
      <c r="D153" s="22" t="s">
        <v>2577</v>
      </c>
      <c r="E153" s="8" t="str">
        <f>HYPERLINK("https://stat100.ameba.jp/tnk47/ratio20/illustrations/card/ill_75883_kitajokagehiro03.jpg", "■")</f>
        <v>■</v>
      </c>
      <c r="F153" s="1" t="s">
        <v>1508</v>
      </c>
      <c r="G153" s="1" t="s">
        <v>1509</v>
      </c>
      <c r="H153" s="1"/>
      <c r="I153" s="1">
        <v>24</v>
      </c>
      <c r="J153" s="1">
        <v>115656</v>
      </c>
      <c r="K153" s="1">
        <v>159674</v>
      </c>
      <c r="L153" s="1" t="s">
        <v>1862</v>
      </c>
      <c r="M153" s="1" t="s">
        <v>823</v>
      </c>
    </row>
    <row r="154" spans="1:13">
      <c r="A154" s="24">
        <v>78123</v>
      </c>
      <c r="B154" s="24" t="s">
        <v>1219</v>
      </c>
      <c r="C154" s="24" t="s">
        <v>96</v>
      </c>
      <c r="D154" s="22" t="s">
        <v>2578</v>
      </c>
      <c r="E154" s="8" t="str">
        <f>HYPERLINK("https://stat100.ameba.jp/tnk47/ratio20/illustrations/card/ill_78123_madannoteirusorushieru03.jpg", "■")</f>
        <v>■</v>
      </c>
      <c r="F154" s="1" t="s">
        <v>1510</v>
      </c>
      <c r="G154" s="1" t="s">
        <v>1511</v>
      </c>
      <c r="H154" s="1"/>
      <c r="I154" s="24">
        <v>25</v>
      </c>
      <c r="J154" s="24">
        <v>166328</v>
      </c>
      <c r="K154" s="24">
        <v>120475</v>
      </c>
      <c r="L154" s="1" t="s">
        <v>1863</v>
      </c>
      <c r="M154" s="1" t="s">
        <v>606</v>
      </c>
    </row>
    <row r="155" spans="1:13">
      <c r="A155" s="24">
        <v>81903</v>
      </c>
      <c r="B155" s="24" t="s">
        <v>37</v>
      </c>
      <c r="C155" s="24" t="s">
        <v>17</v>
      </c>
      <c r="D155" s="22" t="s">
        <v>2591</v>
      </c>
      <c r="E155" s="8" t="str">
        <f>HYPERLINK("https://stat100.ameba.jp/tnk47/ratio20/illustrations/card/ill_81903_kiryuhimeiren03.jpg", "■")</f>
        <v>■</v>
      </c>
      <c r="F155" s="24" t="s">
        <v>1514</v>
      </c>
      <c r="G155" s="1" t="s">
        <v>1515</v>
      </c>
      <c r="H155" s="1" t="s">
        <v>1516</v>
      </c>
      <c r="I155" s="31">
        <v>26</v>
      </c>
      <c r="J155" s="31">
        <v>85962</v>
      </c>
      <c r="K155" s="31">
        <v>118684</v>
      </c>
      <c r="L155" s="1" t="s">
        <v>1864</v>
      </c>
      <c r="M155" s="1" t="s">
        <v>2040</v>
      </c>
    </row>
    <row r="156" spans="1:13">
      <c r="A156" s="24">
        <v>75073</v>
      </c>
      <c r="B156" s="24" t="s">
        <v>10</v>
      </c>
      <c r="C156" s="24" t="s">
        <v>209</v>
      </c>
      <c r="D156" s="22" t="s">
        <v>2592</v>
      </c>
      <c r="E156" s="8" t="str">
        <f>HYPERLINK("https://stat100.ameba.jp/tnk47/ratio20/illustrations/card/ill_75073_puruchacha03.jpg", "■")</f>
        <v>■</v>
      </c>
      <c r="F156" s="1" t="s">
        <v>1517</v>
      </c>
      <c r="G156" s="1"/>
      <c r="H156" s="1" t="s">
        <v>1518</v>
      </c>
      <c r="I156" s="6">
        <v>25</v>
      </c>
      <c r="J156" s="24">
        <v>109259</v>
      </c>
      <c r="K156" s="24">
        <v>79151</v>
      </c>
      <c r="L156" s="1" t="s">
        <v>1865</v>
      </c>
      <c r="M156" s="1" t="s">
        <v>1227</v>
      </c>
    </row>
    <row r="157" spans="1:13">
      <c r="A157" s="24">
        <v>58343</v>
      </c>
      <c r="B157" s="24" t="s">
        <v>1254</v>
      </c>
      <c r="C157" s="24" t="s">
        <v>1183</v>
      </c>
      <c r="D157" s="22" t="s">
        <v>2582</v>
      </c>
      <c r="E157" s="8" t="str">
        <f>HYPERLINK("https://stat100.ameba.jp/tnk47/ratio20/illustrations/card/ill_58343_agemakidayu03.jpg", "■")</f>
        <v>■</v>
      </c>
      <c r="F157" s="24" t="s">
        <v>2584</v>
      </c>
      <c r="G157" s="1"/>
      <c r="H157" s="1" t="s">
        <v>1523</v>
      </c>
      <c r="I157" s="24">
        <v>25</v>
      </c>
      <c r="J157" s="24">
        <v>103176</v>
      </c>
      <c r="K157" s="24">
        <v>75651</v>
      </c>
      <c r="L157" s="24" t="s">
        <v>2583</v>
      </c>
      <c r="M157" s="24" t="s">
        <v>2041</v>
      </c>
    </row>
    <row r="158" spans="1:13">
      <c r="A158" s="24">
        <v>59043</v>
      </c>
      <c r="B158" s="24" t="s">
        <v>1254</v>
      </c>
      <c r="C158" s="24" t="s">
        <v>1183</v>
      </c>
      <c r="D158" s="24" t="s">
        <v>2585</v>
      </c>
      <c r="E158" s="8" t="str">
        <f>HYPERLINK("https://stat100.ameba.jp/tnk47/ratio20/illustrations/card/ill_59043_umeoiransodehagi03.jpg", "■")</f>
        <v>■</v>
      </c>
      <c r="F158" s="24" t="s">
        <v>2586</v>
      </c>
      <c r="G158" s="1"/>
      <c r="H158" s="1" t="s">
        <v>1525</v>
      </c>
      <c r="I158" s="24">
        <v>20</v>
      </c>
      <c r="J158" s="24">
        <v>77088</v>
      </c>
      <c r="K158" s="24">
        <v>71672</v>
      </c>
      <c r="L158" s="24" t="s">
        <v>2587</v>
      </c>
      <c r="M158" s="24" t="s">
        <v>2588</v>
      </c>
    </row>
    <row r="159" spans="1:13">
      <c r="A159" s="24">
        <v>78133</v>
      </c>
      <c r="B159" s="24" t="s">
        <v>10</v>
      </c>
      <c r="C159" s="24" t="s">
        <v>44</v>
      </c>
      <c r="D159" s="22" t="s">
        <v>2589</v>
      </c>
      <c r="E159" s="8" t="str">
        <f>HYPERLINK("https://stat100.ameba.jp/tnk47/ratio20/illustrations/card/ill_78133_akazukin03.jpg", "■")</f>
        <v>■</v>
      </c>
      <c r="F159" s="1" t="s">
        <v>1526</v>
      </c>
      <c r="G159" s="1" t="s">
        <v>1527</v>
      </c>
      <c r="H159" s="1"/>
      <c r="I159" s="24">
        <v>25</v>
      </c>
      <c r="J159" s="24">
        <v>92402</v>
      </c>
      <c r="K159" s="24">
        <v>127580</v>
      </c>
      <c r="L159" s="24" t="s">
        <v>2590</v>
      </c>
      <c r="M159" s="24" t="s">
        <v>3102</v>
      </c>
    </row>
    <row r="160" spans="1:13">
      <c r="A160" s="24">
        <v>76793</v>
      </c>
      <c r="B160" s="24" t="s">
        <v>1254</v>
      </c>
      <c r="C160" s="24" t="s">
        <v>1183</v>
      </c>
      <c r="D160" s="26" t="s">
        <v>1528</v>
      </c>
      <c r="E160" s="8" t="str">
        <f>HYPERLINK("https://stat100.ameba.jp/tnk47/ratio20/illustrations/card/ill_76793_monsutatamatebako03.jpg", "■")</f>
        <v>■</v>
      </c>
      <c r="F160" s="24" t="s">
        <v>1529</v>
      </c>
      <c r="G160" s="1" t="s">
        <v>1530</v>
      </c>
      <c r="H160" s="1"/>
      <c r="I160" s="24">
        <v>25</v>
      </c>
      <c r="J160" s="24">
        <v>113463</v>
      </c>
      <c r="K160" s="24">
        <v>82205</v>
      </c>
      <c r="L160" s="24" t="s">
        <v>1866</v>
      </c>
      <c r="M160" s="24" t="s">
        <v>1867</v>
      </c>
    </row>
    <row r="161" spans="1:14">
      <c r="A161" s="24">
        <v>83393</v>
      </c>
      <c r="B161" s="24" t="s">
        <v>37</v>
      </c>
      <c r="C161" s="24" t="s">
        <v>44</v>
      </c>
      <c r="D161" s="22" t="s">
        <v>2593</v>
      </c>
      <c r="E161" s="8" t="str">
        <f>HYPERLINK("https://stat100.ameba.jp/tnk47/ratio20/illustrations/card/ill_83393_rito03.jpg", "■")</f>
        <v>■</v>
      </c>
      <c r="F161" s="1" t="s">
        <v>1531</v>
      </c>
      <c r="G161" s="1" t="s">
        <v>1532</v>
      </c>
      <c r="H161" s="1"/>
      <c r="I161" s="24">
        <v>25</v>
      </c>
      <c r="J161" s="24">
        <v>127580</v>
      </c>
      <c r="K161" s="24">
        <v>92402</v>
      </c>
      <c r="L161" s="1" t="s">
        <v>1868</v>
      </c>
      <c r="M161" s="1" t="s">
        <v>1806</v>
      </c>
    </row>
    <row r="162" spans="1:14">
      <c r="A162" s="24">
        <v>58923</v>
      </c>
      <c r="B162" s="24" t="s">
        <v>1254</v>
      </c>
      <c r="C162" s="24" t="s">
        <v>1696</v>
      </c>
      <c r="D162" s="24" t="s">
        <v>2703</v>
      </c>
      <c r="E162" s="8" t="str">
        <f>HYPERLINK("https://stat100.ameba.jp/tnk47/ratio20/illustrations/card/ill_58923_chokotamamonomae03.jpg", "■")</f>
        <v>■</v>
      </c>
      <c r="F162" s="24" t="s">
        <v>2603</v>
      </c>
      <c r="G162" s="1" t="s">
        <v>1072</v>
      </c>
      <c r="H162" s="24" t="s">
        <v>2609</v>
      </c>
      <c r="I162" s="24">
        <v>22</v>
      </c>
      <c r="J162" s="24">
        <v>78838</v>
      </c>
      <c r="K162" s="24">
        <v>84796</v>
      </c>
      <c r="L162" s="24" t="s">
        <v>2604</v>
      </c>
      <c r="M162" s="24" t="s">
        <v>2605</v>
      </c>
    </row>
    <row r="163" spans="1:14">
      <c r="A163" s="24">
        <v>80173</v>
      </c>
      <c r="B163" s="24" t="s">
        <v>37</v>
      </c>
      <c r="C163" s="24" t="s">
        <v>74</v>
      </c>
      <c r="D163" s="22" t="s">
        <v>1538</v>
      </c>
      <c r="E163" s="8" t="str">
        <f>HYPERLINK("https://stat100.ameba.jp/tnk47/ratio20/illustrations/card/ill_80173_jusomedeia03.jpg", "■")</f>
        <v>■</v>
      </c>
      <c r="F163" s="24" t="s">
        <v>2607</v>
      </c>
      <c r="G163" s="1" t="s">
        <v>1539</v>
      </c>
      <c r="H163" s="1"/>
      <c r="I163" s="24">
        <v>25</v>
      </c>
      <c r="J163" s="24">
        <v>95703</v>
      </c>
      <c r="K163" s="24">
        <v>132144</v>
      </c>
      <c r="L163" s="24" t="s">
        <v>1869</v>
      </c>
      <c r="M163" s="24" t="s">
        <v>3072</v>
      </c>
    </row>
    <row r="164" spans="1:14">
      <c r="A164" s="24">
        <v>75083</v>
      </c>
      <c r="B164" s="24" t="s">
        <v>37</v>
      </c>
      <c r="C164" s="24" t="s">
        <v>74</v>
      </c>
      <c r="D164" s="22" t="s">
        <v>2608</v>
      </c>
      <c r="E164" s="8" t="str">
        <f>HYPERLINK("https://stat100.ameba.jp/tnk47/ratio20/illustrations/card/ill_75083_sukumizuhanakosan03.jpg", "■")</f>
        <v>■</v>
      </c>
      <c r="F164" s="1" t="s">
        <v>1540</v>
      </c>
      <c r="G164" s="1" t="s">
        <v>1541</v>
      </c>
      <c r="H164" s="1"/>
      <c r="I164" s="24">
        <v>25</v>
      </c>
      <c r="J164" s="24">
        <v>116577</v>
      </c>
      <c r="K164" s="24">
        <v>84456</v>
      </c>
      <c r="L164" s="1" t="s">
        <v>1870</v>
      </c>
      <c r="M164" s="1" t="s">
        <v>2042</v>
      </c>
    </row>
    <row r="165" spans="1:14">
      <c r="A165" s="24">
        <v>64043</v>
      </c>
      <c r="B165" s="24" t="s">
        <v>10</v>
      </c>
      <c r="C165" s="24" t="s">
        <v>51</v>
      </c>
      <c r="D165" s="22" t="s">
        <v>2610</v>
      </c>
      <c r="E165" s="8" t="str">
        <f>HYPERLINK("https://stat100.ameba.jp/tnk47/ratio20/illustrations/card/ill_64043_kegonnotaki03.jpg", "■")</f>
        <v>■</v>
      </c>
      <c r="F165" s="1" t="s">
        <v>1544</v>
      </c>
      <c r="G165" s="1" t="s">
        <v>1545</v>
      </c>
      <c r="H165" s="1"/>
      <c r="I165" s="24">
        <v>25</v>
      </c>
      <c r="J165" s="24">
        <v>118917</v>
      </c>
      <c r="K165" s="24">
        <v>86140</v>
      </c>
      <c r="L165" s="1" t="s">
        <v>1871</v>
      </c>
      <c r="M165" s="1" t="s">
        <v>1872</v>
      </c>
    </row>
    <row r="166" spans="1:14">
      <c r="A166" s="24">
        <v>70843</v>
      </c>
      <c r="B166" s="24" t="s">
        <v>1254</v>
      </c>
      <c r="C166" s="24" t="s">
        <v>1242</v>
      </c>
      <c r="D166" s="26" t="s">
        <v>2611</v>
      </c>
      <c r="E166" s="8" t="str">
        <f>HYPERLINK("https://stat100.ameba.jp/tnk47/ratio20/illustrations/card/ill_70843_indoshinwakurionechan03.jpg", "■")</f>
        <v>■</v>
      </c>
      <c r="F166" s="24" t="s">
        <v>2613</v>
      </c>
      <c r="G166" s="1" t="s">
        <v>1546</v>
      </c>
      <c r="H166" s="1"/>
      <c r="I166" s="24">
        <v>25</v>
      </c>
      <c r="J166" s="24">
        <v>105890</v>
      </c>
      <c r="K166" s="24">
        <v>113890</v>
      </c>
      <c r="L166" s="24" t="s">
        <v>2612</v>
      </c>
      <c r="M166" s="24" t="s">
        <v>1245</v>
      </c>
    </row>
    <row r="167" spans="1:14">
      <c r="A167" s="24">
        <v>67953</v>
      </c>
      <c r="B167" s="24" t="s">
        <v>10</v>
      </c>
      <c r="C167" s="24" t="s">
        <v>119</v>
      </c>
      <c r="D167" s="26" t="s">
        <v>2614</v>
      </c>
      <c r="E167" s="8" t="str">
        <f>HYPERLINK("https://stat100.ameba.jp/tnk47/ratio20/illustrations/card/ill_67953_kutaniyaki03.jpg", "■")</f>
        <v>■</v>
      </c>
      <c r="F167" s="24" t="s">
        <v>1547</v>
      </c>
      <c r="G167" s="1" t="s">
        <v>1324</v>
      </c>
      <c r="H167" s="1"/>
      <c r="I167" s="6">
        <v>25</v>
      </c>
      <c r="J167" s="24">
        <v>82205</v>
      </c>
      <c r="K167" s="24">
        <v>113463</v>
      </c>
      <c r="L167" s="24" t="s">
        <v>2615</v>
      </c>
      <c r="M167" s="24" t="s">
        <v>2018</v>
      </c>
    </row>
    <row r="168" spans="1:14">
      <c r="A168" s="24">
        <v>75873</v>
      </c>
      <c r="B168" s="24" t="s">
        <v>37</v>
      </c>
      <c r="C168" s="24" t="s">
        <v>119</v>
      </c>
      <c r="D168" s="22" t="s">
        <v>2619</v>
      </c>
      <c r="E168" s="8" t="str">
        <f>HYPERLINK("https://stat100.ameba.jp/tnk47/ratio20/illustrations/card/ill_75873_harajukuroriitachan03.jpg", "■")</f>
        <v>■</v>
      </c>
      <c r="F168" s="1" t="s">
        <v>1548</v>
      </c>
      <c r="G168" s="1" t="s">
        <v>1549</v>
      </c>
      <c r="H168" s="1"/>
      <c r="I168" s="24">
        <v>25</v>
      </c>
      <c r="J168" s="24">
        <v>109786</v>
      </c>
      <c r="K168" s="24">
        <v>118063</v>
      </c>
      <c r="L168" s="24" t="s">
        <v>1873</v>
      </c>
      <c r="M168" s="24" t="s">
        <v>3103</v>
      </c>
    </row>
    <row r="169" spans="1:14">
      <c r="A169" s="24">
        <v>75053</v>
      </c>
      <c r="B169" s="24" t="s">
        <v>37</v>
      </c>
      <c r="C169" s="24" t="s">
        <v>119</v>
      </c>
      <c r="D169" s="22" t="s">
        <v>2620</v>
      </c>
      <c r="E169" s="8" t="str">
        <f>HYPERLINK("https://stat100.ameba.jp/tnk47/ratio20/illustrations/card/ill_75053_goshikinuma03.jpg", "■")</f>
        <v>■</v>
      </c>
      <c r="F169" s="1" t="s">
        <v>1550</v>
      </c>
      <c r="G169" s="1"/>
      <c r="H169" s="1" t="s">
        <v>1551</v>
      </c>
      <c r="I169" s="24">
        <v>25</v>
      </c>
      <c r="J169" s="24">
        <v>92318</v>
      </c>
      <c r="K169" s="24">
        <v>127464</v>
      </c>
      <c r="L169" s="1" t="s">
        <v>1874</v>
      </c>
      <c r="M169" s="1" t="s">
        <v>1245</v>
      </c>
    </row>
    <row r="170" spans="1:14">
      <c r="A170" s="24">
        <v>59273</v>
      </c>
      <c r="B170" s="24" t="s">
        <v>10</v>
      </c>
      <c r="C170" s="24" t="s">
        <v>1179</v>
      </c>
      <c r="D170" s="24" t="s">
        <v>2621</v>
      </c>
      <c r="E170" s="8" t="str">
        <f>HYPERLINK("https://stat100.ameba.jp/tnk47/ratio20/illustrations/card/ill_59273_shirayukihimeononokomachi03.jpg", "■")</f>
        <v>■</v>
      </c>
      <c r="F170" s="24" t="s">
        <v>2622</v>
      </c>
      <c r="G170" s="1" t="s">
        <v>1081</v>
      </c>
      <c r="H170" s="24" t="s">
        <v>2609</v>
      </c>
      <c r="I170" s="24">
        <v>22</v>
      </c>
      <c r="J170" s="24">
        <v>84796</v>
      </c>
      <c r="K170" s="24">
        <v>78838</v>
      </c>
      <c r="L170" s="24" t="s">
        <v>2623</v>
      </c>
      <c r="M170" s="24" t="s">
        <v>2624</v>
      </c>
    </row>
    <row r="171" spans="1:14">
      <c r="A171" s="24">
        <v>79513</v>
      </c>
      <c r="B171" s="24" t="s">
        <v>1219</v>
      </c>
      <c r="C171" s="24" t="s">
        <v>169</v>
      </c>
      <c r="D171" s="22" t="s">
        <v>2625</v>
      </c>
      <c r="E171" s="8" t="str">
        <f>HYPERLINK("https://stat100.ameba.jp/tnk47/ratio20/illustrations/card/ill_79513_suzafuonia03.jpg", "■")</f>
        <v>■</v>
      </c>
      <c r="F171" s="24" t="s">
        <v>1557</v>
      </c>
      <c r="G171" s="1" t="s">
        <v>1284</v>
      </c>
      <c r="H171" s="1"/>
      <c r="I171" s="24">
        <v>25</v>
      </c>
      <c r="J171" s="24">
        <v>79151</v>
      </c>
      <c r="K171" s="24">
        <v>109259</v>
      </c>
      <c r="L171" s="24" t="s">
        <v>1876</v>
      </c>
      <c r="M171" s="24" t="s">
        <v>556</v>
      </c>
    </row>
    <row r="172" spans="1:14">
      <c r="A172" s="24">
        <v>63743</v>
      </c>
      <c r="B172" s="24" t="s">
        <v>37</v>
      </c>
      <c r="C172" s="24" t="s">
        <v>6</v>
      </c>
      <c r="D172" s="24" t="s">
        <v>536</v>
      </c>
      <c r="E172" s="8" t="str">
        <f>HYPERLINK("https://stat100.ameba.jp/tnk47/ratio20/illustrations/card/ill_63743_ohotsukukare03.jpg", "■")</f>
        <v>■</v>
      </c>
      <c r="F172" s="24" t="s">
        <v>542</v>
      </c>
      <c r="G172" s="24"/>
      <c r="H172" s="24" t="s">
        <v>2811</v>
      </c>
      <c r="I172" s="24">
        <v>24</v>
      </c>
      <c r="J172" s="24">
        <v>113340</v>
      </c>
      <c r="K172" s="24">
        <v>105394</v>
      </c>
      <c r="L172" s="24" t="s">
        <v>537</v>
      </c>
      <c r="M172" s="24" t="s">
        <v>163</v>
      </c>
      <c r="N172" s="2" t="s">
        <v>1959</v>
      </c>
    </row>
    <row r="173" spans="1:14">
      <c r="A173" s="24">
        <v>67103</v>
      </c>
      <c r="B173" s="24" t="s">
        <v>37</v>
      </c>
      <c r="C173" s="24" t="s">
        <v>6</v>
      </c>
      <c r="D173" s="22" t="s">
        <v>2627</v>
      </c>
      <c r="E173" s="8" t="str">
        <f>HYPERLINK("https://stat100.ameba.jp/tnk47/ratio20/illustrations/card/ill_67103_ankonabe03.jpg", "■")</f>
        <v>■</v>
      </c>
      <c r="F173" s="1" t="s">
        <v>1561</v>
      </c>
      <c r="G173" s="1" t="s">
        <v>1562</v>
      </c>
      <c r="H173" s="1" t="s">
        <v>1563</v>
      </c>
      <c r="I173" s="24">
        <v>25</v>
      </c>
      <c r="J173" s="24">
        <v>95703</v>
      </c>
      <c r="K173" s="24">
        <v>132144</v>
      </c>
      <c r="L173" s="1" t="s">
        <v>1878</v>
      </c>
      <c r="M173" s="1" t="s">
        <v>153</v>
      </c>
    </row>
    <row r="174" spans="1:14">
      <c r="A174" s="24">
        <v>63283</v>
      </c>
      <c r="B174" s="24" t="s">
        <v>1219</v>
      </c>
      <c r="C174" s="24" t="s">
        <v>1175</v>
      </c>
      <c r="D174" s="22" t="s">
        <v>2626</v>
      </c>
      <c r="E174" s="8" t="str">
        <f>HYPERLINK("https://stat100.ameba.jp/tnk47/ratio20/illustrations/card/ill_63283_mizuyokanchan03.jpg", "■")</f>
        <v>■</v>
      </c>
      <c r="F174" s="24" t="s">
        <v>2626</v>
      </c>
      <c r="G174" s="1" t="s">
        <v>1066</v>
      </c>
      <c r="H174" s="1" t="s">
        <v>1564</v>
      </c>
      <c r="I174" s="6">
        <v>25</v>
      </c>
      <c r="J174" s="24">
        <v>118063</v>
      </c>
      <c r="K174" s="24">
        <v>109786</v>
      </c>
      <c r="L174" s="24" t="s">
        <v>1879</v>
      </c>
      <c r="M174" s="24" t="s">
        <v>1880</v>
      </c>
    </row>
    <row r="175" spans="1:14">
      <c r="A175" s="24">
        <v>73093</v>
      </c>
      <c r="B175" s="24" t="s">
        <v>1219</v>
      </c>
      <c r="C175" s="24" t="s">
        <v>1175</v>
      </c>
      <c r="D175" s="22" t="s">
        <v>2214</v>
      </c>
      <c r="E175" s="8" t="str">
        <f>HYPERLINK("https://stat100.ameba.jp/tnk47/ratio20/illustrations/card/ill_73093_aisukurinchan03.jpg", "■")</f>
        <v>■</v>
      </c>
      <c r="F175" s="1" t="s">
        <v>1567</v>
      </c>
      <c r="G175" s="1" t="s">
        <v>1568</v>
      </c>
      <c r="H175" s="1"/>
      <c r="I175" s="24">
        <v>25</v>
      </c>
      <c r="J175" s="24">
        <v>166328</v>
      </c>
      <c r="K175" s="24">
        <v>120475</v>
      </c>
      <c r="L175" s="1" t="s">
        <v>1881</v>
      </c>
      <c r="M175" s="1" t="s">
        <v>1833</v>
      </c>
    </row>
    <row r="176" spans="1:14">
      <c r="A176" s="24">
        <v>78873</v>
      </c>
      <c r="B176" s="24" t="s">
        <v>1219</v>
      </c>
      <c r="C176" s="24" t="s">
        <v>1175</v>
      </c>
      <c r="D176" s="22" t="s">
        <v>2628</v>
      </c>
      <c r="E176" s="8" t="str">
        <f>HYPERLINK("https://stat100.ameba.jp/tnk47/ratio20/illustrations/card/ill_78873_furutsutomato03.jpg", "■")</f>
        <v>■</v>
      </c>
      <c r="F176" s="1" t="s">
        <v>1569</v>
      </c>
      <c r="G176" s="1" t="s">
        <v>1072</v>
      </c>
      <c r="H176" s="1"/>
      <c r="I176" s="24">
        <v>25</v>
      </c>
      <c r="J176" s="24">
        <v>95703</v>
      </c>
      <c r="K176" s="24">
        <v>132144</v>
      </c>
      <c r="L176" s="1" t="s">
        <v>1882</v>
      </c>
      <c r="M176" s="1" t="s">
        <v>1883</v>
      </c>
    </row>
    <row r="177" spans="1:13">
      <c r="A177" s="24">
        <v>70363</v>
      </c>
      <c r="B177" s="24" t="s">
        <v>10</v>
      </c>
      <c r="C177" s="24" t="s">
        <v>67</v>
      </c>
      <c r="D177" s="22" t="s">
        <v>2638</v>
      </c>
      <c r="E177" s="8" t="str">
        <f>HYPERLINK("https://stat100.ameba.jp/tnk47/ratio20/illustrations/card/ill_70363_hokushimmyokembosatsu03.jpg", "■")</f>
        <v>■</v>
      </c>
      <c r="F177" s="1" t="s">
        <v>1572</v>
      </c>
      <c r="G177" s="1" t="s">
        <v>1573</v>
      </c>
      <c r="H177" s="1"/>
      <c r="I177" s="24">
        <v>25</v>
      </c>
      <c r="J177" s="24">
        <v>166328</v>
      </c>
      <c r="K177" s="24">
        <v>120475</v>
      </c>
      <c r="L177" s="1" t="s">
        <v>1884</v>
      </c>
      <c r="M177" s="1" t="s">
        <v>1885</v>
      </c>
    </row>
    <row r="178" spans="1:13">
      <c r="A178" s="24">
        <v>65643</v>
      </c>
      <c r="B178" s="24" t="s">
        <v>1219</v>
      </c>
      <c r="C178" s="24" t="s">
        <v>67</v>
      </c>
      <c r="D178" s="22" t="s">
        <v>2629</v>
      </c>
      <c r="E178" s="8" t="str">
        <f>HYPERLINK("https://stat100.ameba.jp/tnk47/ratio20/illustrations/card/ill_65643_shitompekamui03.jpg", "■")</f>
        <v>■</v>
      </c>
      <c r="F178" s="24" t="s">
        <v>1575</v>
      </c>
      <c r="G178" s="1" t="s">
        <v>1576</v>
      </c>
      <c r="H178" s="1" t="s">
        <v>1577</v>
      </c>
      <c r="I178" s="24">
        <v>25</v>
      </c>
      <c r="J178" s="24">
        <v>82654</v>
      </c>
      <c r="K178" s="24">
        <v>114119</v>
      </c>
      <c r="L178" s="24" t="s">
        <v>1886</v>
      </c>
      <c r="M178" s="24" t="s">
        <v>3105</v>
      </c>
    </row>
    <row r="179" spans="1:13">
      <c r="A179" s="24">
        <v>57803</v>
      </c>
      <c r="B179" s="6" t="s">
        <v>10</v>
      </c>
      <c r="C179" s="6" t="s">
        <v>174</v>
      </c>
      <c r="D179" s="26" t="s">
        <v>2630</v>
      </c>
      <c r="E179" s="8" t="str">
        <f>HYPERLINK("https://stat100.ameba.jp/tnk47/ratio20/illustrations/card/ill_57803_piyopiyobaku03.jpg", "■")</f>
        <v>■</v>
      </c>
      <c r="F179" s="6" t="s">
        <v>1578</v>
      </c>
      <c r="G179" s="1" t="s">
        <v>1131</v>
      </c>
      <c r="H179" s="25" t="s">
        <v>2609</v>
      </c>
      <c r="I179" s="6">
        <v>25</v>
      </c>
      <c r="J179" s="6">
        <v>89590</v>
      </c>
      <c r="K179" s="6">
        <v>96360</v>
      </c>
      <c r="L179" s="6" t="s">
        <v>2631</v>
      </c>
      <c r="M179" s="6" t="s">
        <v>2632</v>
      </c>
    </row>
    <row r="180" spans="1:13">
      <c r="A180" s="24">
        <v>58743</v>
      </c>
      <c r="B180" s="24" t="s">
        <v>1219</v>
      </c>
      <c r="C180" s="24" t="s">
        <v>67</v>
      </c>
      <c r="D180" s="22" t="s">
        <v>2637</v>
      </c>
      <c r="E180" s="8" t="str">
        <f>HYPERLINK("https://stat100.ameba.jp/tnk47/ratio20/illustrations/card/ill_58743_enkirienoki03.jpg", "■")</f>
        <v>■</v>
      </c>
      <c r="F180" s="1" t="s">
        <v>1579</v>
      </c>
      <c r="G180" s="1" t="s">
        <v>1580</v>
      </c>
      <c r="H180" s="1" t="s">
        <v>1581</v>
      </c>
      <c r="I180" s="24">
        <v>25</v>
      </c>
      <c r="J180" s="24">
        <v>75651</v>
      </c>
      <c r="K180" s="24">
        <v>103176</v>
      </c>
      <c r="L180" s="24" t="s">
        <v>1887</v>
      </c>
      <c r="M180" s="24" t="s">
        <v>2045</v>
      </c>
    </row>
    <row r="181" spans="1:13">
      <c r="A181" s="24">
        <v>81313</v>
      </c>
      <c r="B181" s="24" t="s">
        <v>37</v>
      </c>
      <c r="C181" s="24" t="s">
        <v>67</v>
      </c>
      <c r="D181" s="22" t="s">
        <v>2639</v>
      </c>
      <c r="E181" s="8" t="str">
        <f>HYPERLINK("https://stat100.ameba.jp/tnk47/ratio20/illustrations/card/ill_81313_harihara03.jpg", "■")</f>
        <v>■</v>
      </c>
      <c r="F181" s="1" t="s">
        <v>1582</v>
      </c>
      <c r="G181" s="1" t="s">
        <v>1199</v>
      </c>
      <c r="H181" s="1" t="s">
        <v>2807</v>
      </c>
      <c r="I181" s="24">
        <v>26</v>
      </c>
      <c r="J181" s="24">
        <v>172982</v>
      </c>
      <c r="K181" s="24">
        <v>125296</v>
      </c>
      <c r="L181" s="24" t="s">
        <v>1888</v>
      </c>
      <c r="M181" s="24" t="s">
        <v>3106</v>
      </c>
    </row>
    <row r="182" spans="1:13">
      <c r="A182" s="24">
        <v>71323</v>
      </c>
      <c r="B182" s="24" t="s">
        <v>10</v>
      </c>
      <c r="C182" s="24" t="s">
        <v>26</v>
      </c>
      <c r="D182" s="22" t="s">
        <v>2640</v>
      </c>
      <c r="E182" s="8" t="str">
        <f>HYPERLINK("https://stat100.ameba.jp/tnk47/ratio20/illustrations/card/ill_71323_kodanobu03.jpg", "■")</f>
        <v>■</v>
      </c>
      <c r="F182" s="24" t="s">
        <v>1586</v>
      </c>
      <c r="G182" s="1" t="s">
        <v>1587</v>
      </c>
      <c r="H182" s="1"/>
      <c r="I182" s="24">
        <v>24</v>
      </c>
      <c r="J182" s="24">
        <v>120000</v>
      </c>
      <c r="K182" s="24">
        <v>111576</v>
      </c>
      <c r="L182" s="24" t="s">
        <v>2641</v>
      </c>
      <c r="M182" s="24" t="s">
        <v>2642</v>
      </c>
    </row>
    <row r="183" spans="1:13">
      <c r="A183" s="24">
        <v>59423</v>
      </c>
      <c r="B183" s="24" t="s">
        <v>1219</v>
      </c>
      <c r="C183" s="24" t="s">
        <v>123</v>
      </c>
      <c r="D183" s="22" t="s">
        <v>2643</v>
      </c>
      <c r="E183" s="8" t="str">
        <f>HYPERLINK("https://stat100.ameba.jp/tnk47/ratio20/illustrations/card/ill_59423_yuishosetsu03.jpg", "■")</f>
        <v>■</v>
      </c>
      <c r="F183" s="24" t="s">
        <v>2645</v>
      </c>
      <c r="G183" s="1" t="s">
        <v>1375</v>
      </c>
      <c r="H183" s="1" t="s">
        <v>2836</v>
      </c>
      <c r="I183" s="24">
        <v>25</v>
      </c>
      <c r="J183" s="24">
        <v>113463</v>
      </c>
      <c r="K183" s="24">
        <v>82205</v>
      </c>
      <c r="L183" s="24" t="s">
        <v>2644</v>
      </c>
      <c r="M183" s="24" t="s">
        <v>932</v>
      </c>
    </row>
    <row r="184" spans="1:13">
      <c r="A184" s="24">
        <v>80743</v>
      </c>
      <c r="B184" s="24" t="s">
        <v>1219</v>
      </c>
      <c r="C184" s="24" t="s">
        <v>123</v>
      </c>
      <c r="D184" s="22" t="s">
        <v>2646</v>
      </c>
      <c r="E184" s="8" t="str">
        <f>HYPERLINK("https://stat100.ameba.jp/tnk47/ratio20/illustrations/card/ill_80743_senseijutsushi03.jpg", "■")</f>
        <v>■</v>
      </c>
      <c r="F184" s="1" t="s">
        <v>1588</v>
      </c>
      <c r="G184" s="1"/>
      <c r="H184" s="1" t="s">
        <v>2835</v>
      </c>
      <c r="I184" s="6">
        <v>25</v>
      </c>
      <c r="J184" s="24">
        <v>79151</v>
      </c>
      <c r="K184" s="24">
        <v>109259</v>
      </c>
      <c r="L184" s="24" t="s">
        <v>1889</v>
      </c>
      <c r="M184" s="24" t="s">
        <v>3107</v>
      </c>
    </row>
    <row r="185" spans="1:13">
      <c r="A185" s="24"/>
      <c r="B185" s="24"/>
      <c r="C185" s="24"/>
      <c r="D185" s="1"/>
      <c r="F185" s="1"/>
      <c r="G185" s="1"/>
      <c r="H185" s="1"/>
      <c r="I185" s="1"/>
      <c r="J185" s="1"/>
      <c r="K185" s="1"/>
      <c r="L185" s="1"/>
      <c r="M185" s="1"/>
    </row>
    <row r="186" spans="1:13">
      <c r="A186" s="24">
        <v>66353</v>
      </c>
      <c r="B186" s="25" t="s">
        <v>41</v>
      </c>
      <c r="C186" s="25" t="s">
        <v>59</v>
      </c>
      <c r="D186" s="22" t="s">
        <v>2659</v>
      </c>
      <c r="E186" s="8" t="str">
        <f>HYPERLINK("https://stat100.ameba.jp/tnk47/ratio20/illustrations/card/ill_66353_kajiwaranyudotoan03.jpg", "■")</f>
        <v>■</v>
      </c>
      <c r="F186" s="25" t="s">
        <v>1591</v>
      </c>
      <c r="G186" s="1" t="s">
        <v>1259</v>
      </c>
      <c r="H186" s="1"/>
      <c r="I186" s="25">
        <v>25</v>
      </c>
      <c r="J186" s="25">
        <v>166328</v>
      </c>
      <c r="K186" s="25">
        <v>120475</v>
      </c>
      <c r="L186" s="25" t="s">
        <v>1890</v>
      </c>
      <c r="M186" s="25" t="s">
        <v>606</v>
      </c>
    </row>
    <row r="187" spans="1:13">
      <c r="A187" s="24">
        <v>60763</v>
      </c>
      <c r="B187" s="25" t="s">
        <v>1239</v>
      </c>
      <c r="C187" s="25" t="s">
        <v>59</v>
      </c>
      <c r="D187" s="22" t="s">
        <v>2660</v>
      </c>
      <c r="E187" s="8" t="str">
        <f>HYPERLINK("https://stat100.ameba.jp/tnk47/ratio20/illustrations/card/ill_60763_fujiwarakagekiyo03.jpg", "■")</f>
        <v>■</v>
      </c>
      <c r="F187" s="25" t="s">
        <v>1592</v>
      </c>
      <c r="G187" s="1" t="s">
        <v>1593</v>
      </c>
      <c r="H187" s="1" t="s">
        <v>1594</v>
      </c>
      <c r="I187" s="25">
        <v>25</v>
      </c>
      <c r="J187" s="25">
        <v>115656</v>
      </c>
      <c r="K187" s="25">
        <v>159674</v>
      </c>
      <c r="L187" s="25" t="s">
        <v>1891</v>
      </c>
      <c r="M187" s="25" t="s">
        <v>823</v>
      </c>
    </row>
    <row r="188" spans="1:13">
      <c r="A188" s="24">
        <v>81023</v>
      </c>
      <c r="B188" s="24" t="s">
        <v>41</v>
      </c>
      <c r="C188" s="24" t="s">
        <v>59</v>
      </c>
      <c r="D188" s="22" t="s">
        <v>2661</v>
      </c>
      <c r="E188" s="8" t="str">
        <f>HYPERLINK("https://stat100.ameba.jp/tnk47/ratio20/illustrations/card/ill_81023_momonokenki03.jpg", "■")</f>
        <v>■</v>
      </c>
      <c r="F188" s="1" t="s">
        <v>1595</v>
      </c>
      <c r="G188" s="1"/>
      <c r="H188" s="1" t="s">
        <v>1596</v>
      </c>
      <c r="I188" s="6">
        <v>25</v>
      </c>
      <c r="J188" s="25">
        <v>132144</v>
      </c>
      <c r="K188" s="25">
        <v>95703</v>
      </c>
      <c r="L188" s="1" t="s">
        <v>1892</v>
      </c>
      <c r="M188" s="1" t="s">
        <v>2047</v>
      </c>
    </row>
    <row r="189" spans="1:13">
      <c r="A189" s="24">
        <v>69513</v>
      </c>
      <c r="B189" s="25" t="s">
        <v>14</v>
      </c>
      <c r="C189" s="25" t="s">
        <v>17</v>
      </c>
      <c r="D189" s="22" t="s">
        <v>2662</v>
      </c>
      <c r="E189" s="8" t="str">
        <f>HYPERLINK("https://stat100.ameba.jp/tnk47/ratio20/illustrations/card/ill_69513_somedononokisaki03.jpg", "■")</f>
        <v>■</v>
      </c>
      <c r="F189" s="25" t="s">
        <v>1601</v>
      </c>
      <c r="G189" s="1"/>
      <c r="H189" s="1" t="s">
        <v>1602</v>
      </c>
      <c r="I189" s="25">
        <v>25</v>
      </c>
      <c r="J189" s="25">
        <v>82654</v>
      </c>
      <c r="K189" s="25">
        <v>114119</v>
      </c>
      <c r="L189" s="25" t="s">
        <v>1893</v>
      </c>
      <c r="M189" s="25" t="s">
        <v>1894</v>
      </c>
    </row>
    <row r="190" spans="1:13">
      <c r="A190" s="24">
        <v>73103</v>
      </c>
      <c r="B190" s="25" t="s">
        <v>41</v>
      </c>
      <c r="C190" s="25" t="s">
        <v>209</v>
      </c>
      <c r="D190" s="22" t="s">
        <v>2663</v>
      </c>
      <c r="E190" s="8" t="str">
        <f>HYPERLINK("https://stat100.ameba.jp/tnk47/ratio20/illustrations/card/ill_73103_nominookata03.jpg", "■")</f>
        <v>■</v>
      </c>
      <c r="F190" s="25" t="s">
        <v>2665</v>
      </c>
      <c r="G190" s="1" t="s">
        <v>1131</v>
      </c>
      <c r="H190" s="1"/>
      <c r="I190" s="25">
        <v>25</v>
      </c>
      <c r="J190" s="25">
        <v>79151</v>
      </c>
      <c r="K190" s="25">
        <v>109259</v>
      </c>
      <c r="L190" s="25" t="s">
        <v>2664</v>
      </c>
      <c r="M190" s="25" t="s">
        <v>798</v>
      </c>
    </row>
    <row r="191" spans="1:13">
      <c r="A191" s="24">
        <v>34883</v>
      </c>
      <c r="B191" s="24" t="s">
        <v>14</v>
      </c>
      <c r="C191" s="24" t="s">
        <v>17</v>
      </c>
      <c r="D191" s="1" t="s">
        <v>1603</v>
      </c>
      <c r="E191" s="8" t="str">
        <f>HYPERLINK("https://stat100.ameba.jp/tnk47/ratio20/illustrations/card/ill_34883_detoarimaruchia03.jpg", "■")</f>
        <v>■</v>
      </c>
      <c r="F191" s="1" t="s">
        <v>1604</v>
      </c>
      <c r="G191" s="1"/>
      <c r="H191" s="1" t="s">
        <v>1605</v>
      </c>
      <c r="I191" s="1">
        <v>18</v>
      </c>
      <c r="J191" s="1">
        <v>64504</v>
      </c>
      <c r="K191" s="1">
        <v>69378</v>
      </c>
      <c r="L191" s="1" t="s">
        <v>1895</v>
      </c>
      <c r="M191" s="1" t="s">
        <v>2048</v>
      </c>
    </row>
    <row r="192" spans="1:13">
      <c r="A192" s="24">
        <v>77683</v>
      </c>
      <c r="B192" s="24" t="s">
        <v>14</v>
      </c>
      <c r="C192" s="24" t="s">
        <v>17</v>
      </c>
      <c r="D192" s="22" t="s">
        <v>2666</v>
      </c>
      <c r="E192" s="8" t="str">
        <f>HYPERLINK("https://stat100.ameba.jp/tnk47/ratio20/illustrations/card/ill_77683_shukusainoujohoride03.jpg", "■")</f>
        <v>■</v>
      </c>
      <c r="F192" s="1" t="s">
        <v>1606</v>
      </c>
      <c r="G192" s="1"/>
      <c r="H192" s="1" t="s">
        <v>1607</v>
      </c>
      <c r="I192" s="25">
        <v>25</v>
      </c>
      <c r="J192" s="25">
        <v>109259</v>
      </c>
      <c r="K192" s="25">
        <v>79151</v>
      </c>
      <c r="L192" s="1" t="s">
        <v>1896</v>
      </c>
      <c r="M192" s="1" t="s">
        <v>1227</v>
      </c>
    </row>
    <row r="193" spans="1:13">
      <c r="A193" s="24">
        <v>84643</v>
      </c>
      <c r="B193" s="24" t="s">
        <v>14</v>
      </c>
      <c r="C193" s="24" t="s">
        <v>488</v>
      </c>
      <c r="D193" s="22" t="s">
        <v>2667</v>
      </c>
      <c r="E193" s="8" t="str">
        <f>HYPERLINK("https://stat100.ameba.jp/tnk47/ratio20/illustrations/card/ill_84643_rikayaojo03.jpg", "■")</f>
        <v>■</v>
      </c>
      <c r="F193" s="1" t="s">
        <v>1608</v>
      </c>
      <c r="G193" s="1" t="s">
        <v>1609</v>
      </c>
      <c r="H193" s="1"/>
      <c r="I193" s="25">
        <v>25</v>
      </c>
      <c r="J193" s="25">
        <v>166328</v>
      </c>
      <c r="K193" s="25">
        <v>120475</v>
      </c>
      <c r="L193" s="1" t="s">
        <v>1897</v>
      </c>
      <c r="M193" s="1" t="s">
        <v>2049</v>
      </c>
    </row>
    <row r="194" spans="1:13">
      <c r="A194" s="24">
        <v>60173</v>
      </c>
      <c r="B194" s="25" t="s">
        <v>41</v>
      </c>
      <c r="C194" s="25" t="s">
        <v>44</v>
      </c>
      <c r="D194" s="26" t="s">
        <v>2677</v>
      </c>
      <c r="E194" s="8" t="str">
        <f>HYPERLINK("https://stat100.ameba.jp/tnk47/ratio20/illustrations/card/ill_60173_kugutsushi03.jpg", "■")</f>
        <v>■</v>
      </c>
      <c r="F194" s="25" t="s">
        <v>1615</v>
      </c>
      <c r="G194" s="1" t="s">
        <v>1166</v>
      </c>
      <c r="H194" s="1"/>
      <c r="I194" s="25">
        <v>25</v>
      </c>
      <c r="J194" s="25">
        <v>92402</v>
      </c>
      <c r="K194" s="25">
        <v>127580</v>
      </c>
      <c r="L194" s="25" t="s">
        <v>2668</v>
      </c>
      <c r="M194" s="25" t="s">
        <v>3108</v>
      </c>
    </row>
    <row r="195" spans="1:13">
      <c r="A195" s="24">
        <v>63273</v>
      </c>
      <c r="B195" s="24" t="s">
        <v>14</v>
      </c>
      <c r="C195" s="24" t="s">
        <v>154</v>
      </c>
      <c r="D195" s="22" t="s">
        <v>2669</v>
      </c>
      <c r="E195" s="8" t="str">
        <f>HYPERLINK("https://stat100.ameba.jp/tnk47/ratio20/illustrations/card/ill_63273_tsukushimai03.jpg", "■")</f>
        <v>■</v>
      </c>
      <c r="F195" s="1" t="s">
        <v>1618</v>
      </c>
      <c r="G195" s="1" t="s">
        <v>1619</v>
      </c>
      <c r="H195" s="1"/>
      <c r="I195" s="25">
        <v>25</v>
      </c>
      <c r="J195" s="25">
        <v>127580</v>
      </c>
      <c r="K195" s="25">
        <v>92402</v>
      </c>
      <c r="L195" s="1" t="s">
        <v>1898</v>
      </c>
      <c r="M195" s="1" t="s">
        <v>2050</v>
      </c>
    </row>
    <row r="196" spans="1:13">
      <c r="A196" s="24">
        <v>77673</v>
      </c>
      <c r="B196" s="24" t="s">
        <v>14</v>
      </c>
      <c r="C196" s="24" t="s">
        <v>191</v>
      </c>
      <c r="D196" s="22" t="s">
        <v>2676</v>
      </c>
      <c r="E196" s="8" t="str">
        <f>HYPERLINK("https://stat100.ameba.jp/tnk47/ratio20/illustrations/card/ill_77673_ryunochoji03.jpg", "■")</f>
        <v>■</v>
      </c>
      <c r="F196" s="1" t="s">
        <v>1624</v>
      </c>
      <c r="G196" s="1" t="s">
        <v>1389</v>
      </c>
      <c r="H196" s="1"/>
      <c r="I196" s="6">
        <v>25</v>
      </c>
      <c r="J196" s="25">
        <v>116577</v>
      </c>
      <c r="K196" s="25">
        <v>84456</v>
      </c>
      <c r="L196" s="1" t="s">
        <v>1899</v>
      </c>
      <c r="M196" s="1" t="s">
        <v>2051</v>
      </c>
    </row>
    <row r="197" spans="1:13">
      <c r="A197" s="24">
        <v>52083</v>
      </c>
      <c r="B197" s="24" t="s">
        <v>14</v>
      </c>
      <c r="C197" s="24" t="s">
        <v>119</v>
      </c>
      <c r="D197" s="22" t="s">
        <v>2678</v>
      </c>
      <c r="E197" s="8" t="str">
        <f>HYPERLINK("https://stat100.ameba.jp/tnk47/ratio20/illustrations/card/ill_52083_berubetto03.jpg", "■")</f>
        <v>■</v>
      </c>
      <c r="F197" s="1" t="s">
        <v>1625</v>
      </c>
      <c r="G197" s="1" t="s">
        <v>1626</v>
      </c>
      <c r="H197" s="1" t="s">
        <v>1627</v>
      </c>
      <c r="I197" s="25">
        <v>25</v>
      </c>
      <c r="J197" s="25">
        <v>86140</v>
      </c>
      <c r="K197" s="25">
        <v>118917</v>
      </c>
      <c r="L197" s="1" t="s">
        <v>1900</v>
      </c>
      <c r="M197" s="1" t="s">
        <v>2052</v>
      </c>
    </row>
    <row r="198" spans="1:13">
      <c r="A198" s="24">
        <v>78143</v>
      </c>
      <c r="B198" s="24" t="s">
        <v>14</v>
      </c>
      <c r="C198" s="24" t="s">
        <v>51</v>
      </c>
      <c r="D198" s="22" t="s">
        <v>2680</v>
      </c>
      <c r="E198" s="8" t="str">
        <f>HYPERLINK("https://stat100.ameba.jp/tnk47/ratio20/illustrations/card/ill_78143_kanibarukuin03.jpg", "■")</f>
        <v>■</v>
      </c>
      <c r="F198" s="1" t="s">
        <v>1628</v>
      </c>
      <c r="G198" s="1" t="s">
        <v>1629</v>
      </c>
      <c r="H198" s="1" t="s">
        <v>1630</v>
      </c>
      <c r="I198" s="25">
        <v>25</v>
      </c>
      <c r="J198" s="25">
        <v>92318</v>
      </c>
      <c r="K198" s="25">
        <v>127464</v>
      </c>
      <c r="L198" s="1" t="s">
        <v>1901</v>
      </c>
      <c r="M198" s="1" t="s">
        <v>1245</v>
      </c>
    </row>
    <row r="199" spans="1:13">
      <c r="A199" s="24">
        <v>71333</v>
      </c>
      <c r="B199" s="24" t="s">
        <v>41</v>
      </c>
      <c r="C199" s="24" t="s">
        <v>87</v>
      </c>
      <c r="D199" s="22" t="s">
        <v>2679</v>
      </c>
      <c r="E199" s="8" t="str">
        <f>HYPERLINK("https://stat100.ameba.jp/tnk47/ratio20/illustrations/card/ill_71333_fujiwaranokamatari03.jpg", "■")</f>
        <v>■</v>
      </c>
      <c r="F199" s="1" t="s">
        <v>1635</v>
      </c>
      <c r="G199" s="1" t="s">
        <v>1166</v>
      </c>
      <c r="H199" s="1" t="s">
        <v>1636</v>
      </c>
      <c r="I199" s="6">
        <v>25</v>
      </c>
      <c r="J199" s="25">
        <v>109259</v>
      </c>
      <c r="K199" s="25">
        <v>79151</v>
      </c>
      <c r="L199" s="1" t="s">
        <v>1904</v>
      </c>
      <c r="M199" s="1" t="s">
        <v>1778</v>
      </c>
    </row>
    <row r="200" spans="1:13">
      <c r="A200" s="24">
        <v>76783</v>
      </c>
      <c r="B200" s="24" t="s">
        <v>41</v>
      </c>
      <c r="C200" s="24" t="s">
        <v>87</v>
      </c>
      <c r="D200" s="22" t="s">
        <v>2681</v>
      </c>
      <c r="E200" s="8" t="str">
        <f>HYPERLINK("https://stat100.ameba.jp/tnk47/ratio20/illustrations/card/ill_76783_monsutaakashirejina03.jpg", "■")</f>
        <v>■</v>
      </c>
      <c r="F200" s="1" t="s">
        <v>1637</v>
      </c>
      <c r="G200" s="1" t="s">
        <v>1638</v>
      </c>
      <c r="H200" s="1"/>
      <c r="I200" s="25">
        <v>25</v>
      </c>
      <c r="J200" s="25">
        <v>79151</v>
      </c>
      <c r="K200" s="25">
        <v>109259</v>
      </c>
      <c r="L200" s="1" t="s">
        <v>1905</v>
      </c>
      <c r="M200" s="1" t="s">
        <v>2053</v>
      </c>
    </row>
    <row r="201" spans="1:13">
      <c r="A201" s="24">
        <v>82543</v>
      </c>
      <c r="B201" s="24" t="s">
        <v>41</v>
      </c>
      <c r="C201" s="24" t="s">
        <v>169</v>
      </c>
      <c r="D201" s="22" t="s">
        <v>2682</v>
      </c>
      <c r="E201" s="8" t="str">
        <f>HYPERLINK("https://stat100.ameba.jp/tnk47/ratio20/illustrations/card/ill_82543_nabeshimanagako03.jpg", "■")</f>
        <v>■</v>
      </c>
      <c r="F201" s="1" t="s">
        <v>1639</v>
      </c>
      <c r="G201" s="1" t="s">
        <v>1640</v>
      </c>
      <c r="H201" s="1"/>
      <c r="I201" s="25">
        <v>25</v>
      </c>
      <c r="J201" s="25">
        <v>109259</v>
      </c>
      <c r="K201" s="25">
        <v>79151</v>
      </c>
      <c r="L201" s="1" t="s">
        <v>1906</v>
      </c>
      <c r="M201" s="1" t="s">
        <v>1771</v>
      </c>
    </row>
    <row r="202" spans="1:13">
      <c r="A202" s="24">
        <v>51723</v>
      </c>
      <c r="B202" s="24" t="s">
        <v>41</v>
      </c>
      <c r="C202" s="24" t="s">
        <v>149</v>
      </c>
      <c r="D202" s="22" t="s">
        <v>2684</v>
      </c>
      <c r="E202" s="8" t="str">
        <f>HYPERLINK("https://stat100.ameba.jp/tnk47/ratio20/illustrations/card/ill_51723_ekusoshisutoamao03.jpg", "■")</f>
        <v>■</v>
      </c>
      <c r="F202" s="1" t="s">
        <v>1642</v>
      </c>
      <c r="G202" s="1" t="s">
        <v>2812</v>
      </c>
      <c r="H202" s="25" t="s">
        <v>2657</v>
      </c>
      <c r="I202" s="1">
        <v>11</v>
      </c>
      <c r="J202" s="25">
        <v>42398</v>
      </c>
      <c r="K202" s="25">
        <v>39419</v>
      </c>
      <c r="L202" s="1" t="s">
        <v>1908</v>
      </c>
      <c r="M202" s="1" t="s">
        <v>2054</v>
      </c>
    </row>
    <row r="203" spans="1:13">
      <c r="A203" s="24">
        <v>81303</v>
      </c>
      <c r="B203" s="24" t="s">
        <v>41</v>
      </c>
      <c r="C203" s="24" t="s">
        <v>6</v>
      </c>
      <c r="D203" s="22" t="s">
        <v>2685</v>
      </c>
      <c r="E203" s="8" t="str">
        <f>HYPERLINK("https://stat100.ameba.jp/tnk47/ratio20/illustrations/card/ill_81303_suteirukuin03.jpg", "■")</f>
        <v>■</v>
      </c>
      <c r="F203" s="1" t="s">
        <v>1643</v>
      </c>
      <c r="G203" s="1" t="s">
        <v>1644</v>
      </c>
      <c r="H203" s="1"/>
      <c r="I203" s="25">
        <v>25</v>
      </c>
      <c r="J203" s="25">
        <v>120475</v>
      </c>
      <c r="K203" s="25">
        <v>166328</v>
      </c>
      <c r="L203" s="1" t="s">
        <v>1909</v>
      </c>
      <c r="M203" s="1" t="s">
        <v>1218</v>
      </c>
    </row>
    <row r="204" spans="1:13">
      <c r="A204" s="24">
        <v>59383</v>
      </c>
      <c r="B204" s="24" t="s">
        <v>41</v>
      </c>
      <c r="C204" s="24" t="s">
        <v>67</v>
      </c>
      <c r="D204" s="22" t="s">
        <v>2687</v>
      </c>
      <c r="E204" s="8" t="str">
        <f>HYPERLINK("https://stat100.ameba.jp/tnk47/ratio20/illustrations/card/ill_59383_mirokubosatsu03.jpg", "■")</f>
        <v>■</v>
      </c>
      <c r="F204" s="1" t="s">
        <v>1646</v>
      </c>
      <c r="G204" s="1"/>
      <c r="H204" s="1" t="s">
        <v>1647</v>
      </c>
      <c r="I204" s="25" t="s">
        <v>802</v>
      </c>
      <c r="J204" s="25" t="s">
        <v>802</v>
      </c>
      <c r="K204" s="25" t="s">
        <v>802</v>
      </c>
      <c r="L204" s="1" t="s">
        <v>1911</v>
      </c>
      <c r="M204" s="1" t="s">
        <v>2045</v>
      </c>
    </row>
    <row r="205" spans="1:13">
      <c r="A205" s="24">
        <v>62043</v>
      </c>
      <c r="B205" s="24" t="s">
        <v>14</v>
      </c>
      <c r="C205" s="24" t="s">
        <v>67</v>
      </c>
      <c r="D205" s="22" t="s">
        <v>2689</v>
      </c>
      <c r="E205" s="8" t="str">
        <f>HYPERLINK("https://stat100.ameba.jp/tnk47/ratio20/illustrations/card/ill_62043_niutsuhimenookami03.jpg", "■")</f>
        <v>■</v>
      </c>
      <c r="F205" s="1" t="s">
        <v>1649</v>
      </c>
      <c r="G205" s="1" t="s">
        <v>1650</v>
      </c>
      <c r="H205" s="1" t="s">
        <v>1651</v>
      </c>
      <c r="I205" s="25">
        <v>25</v>
      </c>
      <c r="J205" s="25">
        <v>82654</v>
      </c>
      <c r="K205" s="25">
        <v>114119</v>
      </c>
      <c r="L205" s="1" t="s">
        <v>1913</v>
      </c>
      <c r="M205" s="1" t="s">
        <v>954</v>
      </c>
    </row>
    <row r="206" spans="1:13">
      <c r="A206" s="24">
        <v>62473</v>
      </c>
      <c r="B206" s="24" t="s">
        <v>41</v>
      </c>
      <c r="C206" s="24" t="s">
        <v>67</v>
      </c>
      <c r="D206" s="22" t="s">
        <v>2690</v>
      </c>
      <c r="E206" s="8" t="str">
        <f>HYPERLINK("https://stat100.ameba.jp/tnk47/ratio20/illustrations/card/ill_62473_kokuriko03.jpg", "■")</f>
        <v>■</v>
      </c>
      <c r="F206" s="1" t="s">
        <v>1652</v>
      </c>
      <c r="G206" s="1"/>
      <c r="H206" s="1" t="s">
        <v>1653</v>
      </c>
      <c r="I206" s="25">
        <v>25</v>
      </c>
      <c r="J206" s="25">
        <v>114119</v>
      </c>
      <c r="K206" s="25">
        <v>82654</v>
      </c>
      <c r="L206" s="1" t="s">
        <v>1914</v>
      </c>
      <c r="M206" s="1" t="s">
        <v>2056</v>
      </c>
    </row>
    <row r="207" spans="1:13">
      <c r="A207" s="24">
        <v>75093</v>
      </c>
      <c r="B207" s="24" t="s">
        <v>41</v>
      </c>
      <c r="C207" s="24" t="s">
        <v>67</v>
      </c>
      <c r="D207" s="22" t="s">
        <v>2691</v>
      </c>
      <c r="E207" s="8" t="str">
        <f>HYPERLINK("https://stat100.ameba.jp/tnk47/ratio20/illustrations/card/ill_75093_hangonko03.jpg", "■")</f>
        <v>■</v>
      </c>
      <c r="F207" s="1" t="s">
        <v>1654</v>
      </c>
      <c r="G207" s="1" t="s">
        <v>1655</v>
      </c>
      <c r="H207" s="1"/>
      <c r="I207" s="25">
        <v>25</v>
      </c>
      <c r="J207" s="25">
        <v>132144</v>
      </c>
      <c r="K207" s="25">
        <v>95703</v>
      </c>
      <c r="L207" s="1" t="s">
        <v>1915</v>
      </c>
      <c r="M207" s="1" t="s">
        <v>163</v>
      </c>
    </row>
    <row r="208" spans="1:13">
      <c r="A208" s="24">
        <v>80163</v>
      </c>
      <c r="B208" s="24" t="s">
        <v>41</v>
      </c>
      <c r="C208" s="24" t="s">
        <v>67</v>
      </c>
      <c r="D208" s="22" t="s">
        <v>2692</v>
      </c>
      <c r="E208" s="8" t="str">
        <f>HYPERLINK("https://stat100.ameba.jp/tnk47/ratio20/illustrations/card/ill_80163_kuronosu03.jpg", "■")</f>
        <v>■</v>
      </c>
      <c r="F208" s="1" t="s">
        <v>1656</v>
      </c>
      <c r="G208" s="1" t="s">
        <v>1657</v>
      </c>
      <c r="H208" s="1"/>
      <c r="I208" s="25">
        <v>25</v>
      </c>
      <c r="J208" s="25">
        <v>82654</v>
      </c>
      <c r="K208" s="25">
        <v>114119</v>
      </c>
      <c r="L208" s="1" t="s">
        <v>1916</v>
      </c>
      <c r="M208" s="1" t="s">
        <v>797</v>
      </c>
    </row>
    <row r="209" spans="1:14">
      <c r="A209" s="24">
        <v>66363</v>
      </c>
      <c r="B209" s="24" t="s">
        <v>41</v>
      </c>
      <c r="C209" s="24" t="s">
        <v>26</v>
      </c>
      <c r="D209" s="22" t="s">
        <v>2693</v>
      </c>
      <c r="E209" s="8" t="str">
        <f>HYPERLINK("https://stat100.ameba.jp/tnk47/ratio20/illustrations/card/ill_66363_iharasaikaku03.jpg", "■")</f>
        <v>■</v>
      </c>
      <c r="F209" s="1" t="s">
        <v>1658</v>
      </c>
      <c r="G209" s="1"/>
      <c r="H209" s="1" t="s">
        <v>1659</v>
      </c>
      <c r="I209" s="25">
        <v>25</v>
      </c>
      <c r="J209" s="25">
        <v>82205</v>
      </c>
      <c r="K209" s="25">
        <v>113463</v>
      </c>
      <c r="L209" s="1" t="s">
        <v>1917</v>
      </c>
      <c r="M209" s="1" t="s">
        <v>915</v>
      </c>
    </row>
    <row r="210" spans="1:14">
      <c r="A210" s="24">
        <v>75853</v>
      </c>
      <c r="B210" s="24" t="s">
        <v>41</v>
      </c>
      <c r="C210" s="24" t="s">
        <v>26</v>
      </c>
      <c r="D210" s="22" t="s">
        <v>2694</v>
      </c>
      <c r="E210" s="8" t="str">
        <f>HYPERLINK("https://stat100.ameba.jp/tnk47/ratio20/illustrations/card/ill_75853_moruganoyuki03.jpg", "■")</f>
        <v>■</v>
      </c>
      <c r="F210" s="1" t="s">
        <v>1660</v>
      </c>
      <c r="G210" s="1" t="s">
        <v>1166</v>
      </c>
      <c r="H210" s="1"/>
      <c r="I210" s="6">
        <v>25</v>
      </c>
      <c r="J210" s="25">
        <v>125000</v>
      </c>
      <c r="K210" s="25">
        <v>116225</v>
      </c>
      <c r="L210" s="1" t="s">
        <v>1918</v>
      </c>
      <c r="M210" s="1" t="s">
        <v>2046</v>
      </c>
    </row>
    <row r="211" spans="1:14">
      <c r="A211" s="24">
        <v>75893</v>
      </c>
      <c r="B211" s="24" t="s">
        <v>41</v>
      </c>
      <c r="C211" s="24" t="s">
        <v>26</v>
      </c>
      <c r="D211" s="22" t="s">
        <v>2695</v>
      </c>
      <c r="E211" s="8" t="str">
        <f>HYPERLINK("https://stat100.ameba.jp/tnk47/ratio20/illustrations/card/ill_75893_hamamatsutakuni03.jpg", "■")</f>
        <v>■</v>
      </c>
      <c r="F211" s="1" t="s">
        <v>1661</v>
      </c>
      <c r="G211" s="1"/>
      <c r="H211" s="1" t="s">
        <v>1662</v>
      </c>
      <c r="I211" s="25">
        <v>25</v>
      </c>
      <c r="J211" s="25">
        <v>113463</v>
      </c>
      <c r="K211" s="25">
        <v>82205</v>
      </c>
      <c r="L211" s="1" t="s">
        <v>1919</v>
      </c>
      <c r="M211" s="1" t="s">
        <v>927</v>
      </c>
    </row>
    <row r="212" spans="1:14">
      <c r="A212" s="24"/>
      <c r="B212" s="24"/>
      <c r="C212" s="24"/>
      <c r="D212" s="1"/>
      <c r="F212" s="1"/>
      <c r="G212" s="1"/>
      <c r="H212" s="1"/>
      <c r="I212" s="1"/>
      <c r="J212" s="1"/>
      <c r="K212" s="1"/>
      <c r="L212" s="1"/>
      <c r="M212" s="1"/>
    </row>
    <row r="213" spans="1:14">
      <c r="A213" s="24">
        <v>79203</v>
      </c>
      <c r="B213" s="24" t="s">
        <v>95</v>
      </c>
      <c r="C213" s="24" t="s">
        <v>154</v>
      </c>
      <c r="D213" s="22" t="s">
        <v>2711</v>
      </c>
      <c r="E213" s="8" t="str">
        <f>HYPERLINK("https://stat100.ameba.jp/tnk47/ratio20/illustrations/card/ill_79203_santaokokuredeisanta03.jpg", "■")</f>
        <v>■</v>
      </c>
      <c r="F213" s="1" t="s">
        <v>1958</v>
      </c>
      <c r="G213" s="1"/>
      <c r="H213" s="1" t="s">
        <v>2802</v>
      </c>
      <c r="I213" s="1">
        <v>24</v>
      </c>
      <c r="J213" s="1">
        <v>106680</v>
      </c>
      <c r="K213" s="1">
        <v>99182</v>
      </c>
      <c r="L213" s="1" t="s">
        <v>1925</v>
      </c>
      <c r="M213" s="1" t="s">
        <v>2060</v>
      </c>
    </row>
    <row r="214" spans="1:14">
      <c r="A214" s="24">
        <v>76803</v>
      </c>
      <c r="B214" s="24" t="s">
        <v>95</v>
      </c>
      <c r="C214" s="24" t="s">
        <v>1175</v>
      </c>
      <c r="D214" s="22" t="s">
        <v>2712</v>
      </c>
      <c r="E214" s="8" t="str">
        <f>HYPERLINK("https://stat100.ameba.jp/tnk47/ratio20/illustrations/card/ill_76803_monsutakujirachan03.jpg", "■")</f>
        <v>■</v>
      </c>
      <c r="F214" s="1" t="s">
        <v>1674</v>
      </c>
      <c r="G214" s="1" t="s">
        <v>1675</v>
      </c>
      <c r="H214" s="1"/>
      <c r="I214" s="25">
        <v>25</v>
      </c>
      <c r="J214" s="25">
        <v>166328</v>
      </c>
      <c r="K214" s="25">
        <v>120475</v>
      </c>
      <c r="L214" s="1" t="s">
        <v>1928</v>
      </c>
      <c r="M214" s="1" t="s">
        <v>1773</v>
      </c>
    </row>
    <row r="215" spans="1:14">
      <c r="A215" s="24">
        <v>77663</v>
      </c>
      <c r="B215" s="24" t="s">
        <v>95</v>
      </c>
      <c r="C215" s="24" t="s">
        <v>123</v>
      </c>
      <c r="D215" s="22" t="s">
        <v>2220</v>
      </c>
      <c r="E215" s="8" t="str">
        <f>HYPERLINK("https://stat100.ameba.jp/tnk47/ratio20/illustrations/card/ill_77663_deipuburu03.jpg", "■")</f>
        <v>■</v>
      </c>
      <c r="F215" s="1" t="s">
        <v>1679</v>
      </c>
      <c r="G215" s="1" t="s">
        <v>1680</v>
      </c>
      <c r="H215" s="1" t="s">
        <v>1681</v>
      </c>
      <c r="I215" s="1">
        <v>24</v>
      </c>
      <c r="J215" s="1">
        <v>78916</v>
      </c>
      <c r="K215" s="1">
        <v>108924</v>
      </c>
      <c r="L215" s="1" t="s">
        <v>1934</v>
      </c>
      <c r="M215" s="1" t="s">
        <v>915</v>
      </c>
    </row>
    <row r="216" spans="1:14">
      <c r="A216" s="67"/>
      <c r="B216" s="67"/>
      <c r="C216" s="67"/>
      <c r="D216" s="22"/>
      <c r="E216" s="8"/>
      <c r="F216" s="67"/>
      <c r="G216" s="67"/>
      <c r="H216" s="67"/>
      <c r="I216" s="67"/>
      <c r="J216" s="67"/>
      <c r="K216" s="67"/>
      <c r="L216" s="67"/>
      <c r="M216" s="67"/>
    </row>
    <row r="217" spans="1:14">
      <c r="A217" s="24">
        <v>71885</v>
      </c>
      <c r="B217" s="24" t="s">
        <v>1273</v>
      </c>
      <c r="C217" s="24" t="s">
        <v>51</v>
      </c>
      <c r="D217" s="22" t="s">
        <v>2221</v>
      </c>
      <c r="E217" s="8" t="str">
        <f>HYPERLINK("https://stat100.ameba.jp/tnk47/ratio20/illustrations/card/ill_71885_isshoniohanamihachiko05.jpg", "■")</f>
        <v>■</v>
      </c>
      <c r="F217" s="1" t="s">
        <v>1694</v>
      </c>
      <c r="G217" s="1"/>
      <c r="H217" s="1" t="s">
        <v>1695</v>
      </c>
      <c r="I217" s="1">
        <v>16</v>
      </c>
      <c r="J217" s="1">
        <v>36185</v>
      </c>
      <c r="K217" s="1">
        <v>33061</v>
      </c>
      <c r="L217" s="1" t="s">
        <v>1946</v>
      </c>
      <c r="M217" s="1" t="s">
        <v>1953</v>
      </c>
      <c r="N217" s="2" t="s">
        <v>2098</v>
      </c>
    </row>
  </sheetData>
  <phoneticPr fontId="3"/>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26566C-FDD4-423E-8A45-AFF1679A8593}">
  <dimension ref="A1:N48"/>
  <sheetViews>
    <sheetView zoomScale="55" zoomScaleNormal="55" workbookViewId="0">
      <pane ySplit="1" topLeftCell="A2" activePane="bottomLeft" state="frozen"/>
      <selection pane="bottomLeft"/>
    </sheetView>
  </sheetViews>
  <sheetFormatPr defaultColWidth="8.9140625" defaultRowHeight="18"/>
  <cols>
    <col min="1" max="1" width="6.33203125" style="2" customWidth="1"/>
    <col min="2" max="2" width="10.4140625" style="2" customWidth="1"/>
    <col min="3" max="3" width="5.6640625" style="2" customWidth="1"/>
    <col min="4" max="4" width="25.75" style="2" customWidth="1"/>
    <col min="5" max="5" width="3.9140625" style="24" customWidth="1"/>
    <col min="6" max="6" width="29.08203125" style="2" hidden="1" customWidth="1"/>
    <col min="7" max="8" width="20.75" style="2" hidden="1" customWidth="1"/>
    <col min="9" max="9" width="4.9140625" style="2" customWidth="1"/>
    <col min="10" max="11" width="7.33203125" style="2" customWidth="1"/>
    <col min="12" max="12" width="12.25" style="2" hidden="1" customWidth="1"/>
    <col min="13" max="13" width="65.75" style="2" customWidth="1"/>
    <col min="14" max="14" width="14.33203125" style="2" customWidth="1"/>
    <col min="15" max="16384" width="8.9140625" style="2"/>
  </cols>
  <sheetData>
    <row r="1" spans="1:14">
      <c r="A1" s="13" t="s">
        <v>583</v>
      </c>
      <c r="B1" s="13" t="s">
        <v>0</v>
      </c>
      <c r="C1" s="13" t="s">
        <v>1</v>
      </c>
      <c r="D1" s="13" t="s">
        <v>2</v>
      </c>
      <c r="E1" s="12" t="s">
        <v>2126</v>
      </c>
      <c r="F1" s="13" t="s">
        <v>637</v>
      </c>
      <c r="G1" s="13" t="s">
        <v>1122</v>
      </c>
      <c r="H1" s="13" t="s">
        <v>1040</v>
      </c>
      <c r="I1" s="12" t="s">
        <v>114</v>
      </c>
      <c r="J1" s="12" t="s">
        <v>657</v>
      </c>
      <c r="K1" s="12" t="s">
        <v>658</v>
      </c>
      <c r="L1" s="12" t="s">
        <v>4</v>
      </c>
      <c r="M1" s="12" t="s">
        <v>2803</v>
      </c>
      <c r="N1" s="12" t="s">
        <v>1951</v>
      </c>
    </row>
    <row r="2" spans="1:14">
      <c r="C2" s="24"/>
      <c r="D2" s="24"/>
      <c r="F2" s="24"/>
      <c r="G2" s="17"/>
      <c r="H2" s="17"/>
      <c r="L2" s="24"/>
      <c r="M2" s="24"/>
    </row>
    <row r="3" spans="1:14">
      <c r="A3" s="2" t="s">
        <v>2971</v>
      </c>
      <c r="C3" s="24"/>
      <c r="D3" s="24"/>
      <c r="F3" s="24"/>
      <c r="G3" s="17"/>
      <c r="H3" s="17"/>
      <c r="L3" s="24"/>
      <c r="M3" s="24"/>
    </row>
    <row r="4" spans="1:14">
      <c r="A4" s="2" t="s">
        <v>2982</v>
      </c>
      <c r="C4" s="24"/>
      <c r="D4" s="24"/>
      <c r="F4" s="24"/>
      <c r="G4" s="17"/>
      <c r="H4" s="17"/>
      <c r="L4" s="24"/>
      <c r="M4" s="24"/>
    </row>
    <row r="5" spans="1:14">
      <c r="C5" s="58"/>
      <c r="D5" s="58"/>
      <c r="E5" s="58"/>
      <c r="F5" s="58"/>
      <c r="G5" s="17"/>
      <c r="H5" s="17"/>
      <c r="L5" s="58"/>
      <c r="M5" s="58"/>
    </row>
    <row r="6" spans="1:14">
      <c r="A6" s="24">
        <v>74533</v>
      </c>
      <c r="B6" s="24" t="s">
        <v>148</v>
      </c>
      <c r="C6" s="24" t="s">
        <v>74</v>
      </c>
      <c r="D6" s="22" t="s">
        <v>2158</v>
      </c>
      <c r="E6" s="8" t="str">
        <f>HYPERLINK("https://stat100.ameba.jp/tnk47/ratio20/illustrations/card/ill_74533_natsuyuenchitatsukohime03.jpg", "■")</f>
        <v>■</v>
      </c>
      <c r="F6" s="24" t="s">
        <v>2072</v>
      </c>
      <c r="G6" s="24"/>
      <c r="H6" s="24" t="s">
        <v>2073</v>
      </c>
      <c r="I6" s="24" t="s">
        <v>802</v>
      </c>
      <c r="J6" s="24" t="s">
        <v>802</v>
      </c>
      <c r="K6" s="24" t="s">
        <v>802</v>
      </c>
      <c r="L6" s="24" t="s">
        <v>2071</v>
      </c>
      <c r="M6" s="24" t="s">
        <v>3116</v>
      </c>
      <c r="N6" s="24" t="s">
        <v>2068</v>
      </c>
    </row>
    <row r="7" spans="1:14">
      <c r="A7" s="24">
        <v>67111</v>
      </c>
      <c r="B7" s="24" t="s">
        <v>148</v>
      </c>
      <c r="C7" s="24" t="s">
        <v>87</v>
      </c>
      <c r="D7" s="22" t="s">
        <v>2164</v>
      </c>
      <c r="E7" s="8" t="str">
        <f>HYPERLINK("https://stat100.ameba.jp/tnk47/ratio20/illustrations/card/ill_67111_yukemuriyamamurokieko01.jpg", "■")</f>
        <v>■</v>
      </c>
      <c r="F7" s="24" t="s">
        <v>1973</v>
      </c>
      <c r="G7" s="24" t="s">
        <v>1302</v>
      </c>
      <c r="H7" s="24"/>
      <c r="I7" s="24" t="s">
        <v>802</v>
      </c>
      <c r="J7" s="24" t="s">
        <v>802</v>
      </c>
      <c r="K7" s="24" t="s">
        <v>802</v>
      </c>
      <c r="L7" s="24" t="s">
        <v>1972</v>
      </c>
      <c r="M7" s="18" t="s">
        <v>1963</v>
      </c>
      <c r="N7" s="24" t="s">
        <v>1970</v>
      </c>
    </row>
    <row r="8" spans="1:14">
      <c r="A8" s="24">
        <v>63113</v>
      </c>
      <c r="B8" s="24" t="s">
        <v>148</v>
      </c>
      <c r="C8" s="24" t="s">
        <v>67</v>
      </c>
      <c r="D8" s="22" t="s">
        <v>2169</v>
      </c>
      <c r="E8" s="8" t="str">
        <f>HYPERLINK("https://stat100.ameba.jp/tnk47/ratio20/illustrations/card/ill_63113_minazukikontominushihime03.jpg", "■")</f>
        <v>■</v>
      </c>
      <c r="F8" s="24" t="s">
        <v>1315</v>
      </c>
      <c r="G8" s="24" t="s">
        <v>1199</v>
      </c>
      <c r="H8" s="24"/>
      <c r="I8" s="24" t="s">
        <v>802</v>
      </c>
      <c r="J8" s="24" t="s">
        <v>802</v>
      </c>
      <c r="K8" s="24" t="s">
        <v>802</v>
      </c>
      <c r="L8" s="24" t="s">
        <v>1971</v>
      </c>
      <c r="M8" s="18" t="s">
        <v>1983</v>
      </c>
      <c r="N8" s="24" t="s">
        <v>1970</v>
      </c>
    </row>
    <row r="9" spans="1:14">
      <c r="A9" s="24"/>
      <c r="B9" s="24"/>
      <c r="C9" s="24"/>
      <c r="D9" s="24"/>
      <c r="F9" s="24"/>
      <c r="G9" s="24"/>
      <c r="H9" s="24"/>
      <c r="I9" s="24"/>
      <c r="J9" s="24"/>
      <c r="K9" s="24"/>
      <c r="L9" s="24"/>
      <c r="M9" s="24"/>
    </row>
    <row r="10" spans="1:14">
      <c r="A10" s="24">
        <v>86213</v>
      </c>
      <c r="B10" s="24" t="s">
        <v>757</v>
      </c>
      <c r="C10" s="24" t="s">
        <v>44</v>
      </c>
      <c r="D10" s="22" t="s">
        <v>2176</v>
      </c>
      <c r="E10" s="8" t="str">
        <f>HYPERLINK("https://stat100.ameba.jp/tnk47/ratio20/illustrations/card/ill_86213_oshogatsushigozen03.jpg", "■")</f>
        <v>■</v>
      </c>
      <c r="F10" s="24" t="s">
        <v>2076</v>
      </c>
      <c r="G10" s="24" t="s">
        <v>1142</v>
      </c>
      <c r="H10" s="24"/>
      <c r="I10" s="24">
        <v>26</v>
      </c>
      <c r="J10" s="24">
        <v>118656</v>
      </c>
      <c r="K10" s="24">
        <v>110126</v>
      </c>
      <c r="L10" s="24" t="s">
        <v>2077</v>
      </c>
      <c r="M10" s="24" t="s">
        <v>3117</v>
      </c>
      <c r="N10" s="24" t="s">
        <v>2068</v>
      </c>
    </row>
    <row r="11" spans="1:14">
      <c r="A11" s="24">
        <v>83493</v>
      </c>
      <c r="B11" s="24" t="s">
        <v>757</v>
      </c>
      <c r="C11" s="24" t="s">
        <v>191</v>
      </c>
      <c r="D11" s="22" t="s">
        <v>2501</v>
      </c>
      <c r="E11" s="8" t="str">
        <f>HYPERLINK("https://stat100.ameba.jp/tnk47/ratio20/illustrations/card/ill_83493_kajuenfurutsubakinorei03.jpg", "■")</f>
        <v>■</v>
      </c>
      <c r="F11" s="24" t="s">
        <v>1336</v>
      </c>
      <c r="G11" s="24"/>
      <c r="H11" s="24" t="s">
        <v>1337</v>
      </c>
      <c r="I11" s="24">
        <v>24</v>
      </c>
      <c r="J11" s="24">
        <v>92996</v>
      </c>
      <c r="K11" s="24">
        <v>99996</v>
      </c>
      <c r="L11" s="24" t="s">
        <v>1735</v>
      </c>
      <c r="M11" s="24" t="s">
        <v>1736</v>
      </c>
      <c r="N11" s="24" t="s">
        <v>2068</v>
      </c>
    </row>
    <row r="12" spans="1:14">
      <c r="A12" s="24">
        <v>61833</v>
      </c>
      <c r="B12" s="24" t="s">
        <v>757</v>
      </c>
      <c r="C12" s="24" t="s">
        <v>51</v>
      </c>
      <c r="D12" s="22" t="s">
        <v>2178</v>
      </c>
      <c r="E12" s="8" t="str">
        <f>HYPERLINK("https://stat100.ameba.jp/tnk47/ratio20/illustrations/card/ill_61833_onikirishugorudo03.jpg", "■")</f>
        <v>■</v>
      </c>
      <c r="F12" s="24" t="s">
        <v>1341</v>
      </c>
      <c r="G12" s="24" t="s">
        <v>1166</v>
      </c>
      <c r="H12" s="24"/>
      <c r="I12" s="24" t="s">
        <v>802</v>
      </c>
      <c r="J12" s="24" t="s">
        <v>802</v>
      </c>
      <c r="K12" s="24" t="s">
        <v>802</v>
      </c>
      <c r="L12" s="24" t="s">
        <v>1968</v>
      </c>
      <c r="M12" s="18" t="s">
        <v>1967</v>
      </c>
      <c r="N12" s="24" t="s">
        <v>1970</v>
      </c>
    </row>
    <row r="13" spans="1:14">
      <c r="A13" s="24">
        <v>65663</v>
      </c>
      <c r="B13" s="24" t="s">
        <v>757</v>
      </c>
      <c r="C13" s="24" t="s">
        <v>169</v>
      </c>
      <c r="D13" s="22" t="s">
        <v>2179</v>
      </c>
      <c r="E13" s="8" t="str">
        <f>HYPERLINK("https://stat100.ameba.jp/tnk47/ratio20/illustrations/card/ill_65663_undokaikatsushikaoi03.jpg", "■")</f>
        <v>■</v>
      </c>
      <c r="F13" s="24" t="s">
        <v>2075</v>
      </c>
      <c r="G13" s="24"/>
      <c r="H13" s="24" t="s">
        <v>1340</v>
      </c>
      <c r="I13" s="24" t="s">
        <v>802</v>
      </c>
      <c r="J13" s="24" t="s">
        <v>802</v>
      </c>
      <c r="K13" s="24" t="s">
        <v>802</v>
      </c>
      <c r="L13" s="24" t="s">
        <v>2074</v>
      </c>
      <c r="M13" s="24" t="s">
        <v>131</v>
      </c>
      <c r="N13" s="24" t="s">
        <v>1970</v>
      </c>
    </row>
    <row r="14" spans="1:14">
      <c r="A14" s="2">
        <v>82363</v>
      </c>
      <c r="B14" s="24" t="s">
        <v>757</v>
      </c>
      <c r="C14" s="24" t="s">
        <v>169</v>
      </c>
      <c r="D14" s="22" t="s">
        <v>2504</v>
      </c>
      <c r="E14" s="8" t="str">
        <f>HYPERLINK("https://stat100.ameba.jp/tnk47/ratio20/illustrations/card/ill_82363_bikinigaruteneiin03.jpg", "■")</f>
        <v>■</v>
      </c>
      <c r="F14" s="24" t="s">
        <v>1348</v>
      </c>
      <c r="G14" s="24"/>
      <c r="H14" s="24" t="s">
        <v>1349</v>
      </c>
      <c r="I14" s="24">
        <v>24</v>
      </c>
      <c r="J14" s="24">
        <v>87128</v>
      </c>
      <c r="K14" s="24">
        <v>93746</v>
      </c>
      <c r="L14" s="24" t="s">
        <v>1743</v>
      </c>
      <c r="M14" s="24" t="s">
        <v>1744</v>
      </c>
      <c r="N14" s="24" t="s">
        <v>2068</v>
      </c>
    </row>
    <row r="15" spans="1:14">
      <c r="A15" s="24">
        <v>77113</v>
      </c>
      <c r="B15" s="24" t="s">
        <v>757</v>
      </c>
      <c r="C15" s="24" t="s">
        <v>67</v>
      </c>
      <c r="D15" s="22" t="s">
        <v>2506</v>
      </c>
      <c r="E15" s="8" t="str">
        <f>HYPERLINK("https://stat100.ameba.jp/tnk47/ratio20/illustrations/card/ill_77113_yukemurikandamyojin03.jpg", "■")</f>
        <v>■</v>
      </c>
      <c r="F15" s="24" t="s">
        <v>2070</v>
      </c>
      <c r="G15" s="24"/>
      <c r="H15" s="24" t="s">
        <v>1340</v>
      </c>
      <c r="I15" s="24">
        <v>22</v>
      </c>
      <c r="J15" s="24">
        <v>89736</v>
      </c>
      <c r="K15" s="24">
        <v>83426</v>
      </c>
      <c r="L15" s="24" t="s">
        <v>2069</v>
      </c>
      <c r="M15" s="24" t="s">
        <v>816</v>
      </c>
      <c r="N15" s="24" t="s">
        <v>2068</v>
      </c>
    </row>
    <row r="16" spans="1:14">
      <c r="A16" s="61">
        <v>73713</v>
      </c>
      <c r="B16" s="61" t="s">
        <v>757</v>
      </c>
      <c r="C16" s="61" t="s">
        <v>123</v>
      </c>
      <c r="D16" s="61" t="s">
        <v>2972</v>
      </c>
      <c r="E16" s="8" t="str">
        <f>HYPERLINK("https://stat100.ameba.jp/tnk47/ratio20/illustrations/card/ill_73713_umibirakiraguzatama03.jpg", "■")</f>
        <v>■</v>
      </c>
      <c r="F16" s="61" t="s">
        <v>2973</v>
      </c>
      <c r="G16" s="61"/>
      <c r="H16" s="61"/>
      <c r="I16" s="61" t="s">
        <v>802</v>
      </c>
      <c r="J16" s="61" t="s">
        <v>802</v>
      </c>
      <c r="K16" s="61" t="s">
        <v>802</v>
      </c>
      <c r="L16" s="61" t="s">
        <v>802</v>
      </c>
      <c r="M16" s="18" t="s">
        <v>802</v>
      </c>
      <c r="N16" s="61" t="s">
        <v>2068</v>
      </c>
    </row>
    <row r="17" spans="1:14">
      <c r="A17" s="24"/>
      <c r="B17" s="24"/>
      <c r="C17" s="24"/>
      <c r="D17" s="24"/>
      <c r="F17" s="24"/>
      <c r="G17" s="24"/>
      <c r="H17" s="24"/>
      <c r="I17" s="24"/>
      <c r="J17" s="24"/>
      <c r="K17" s="24"/>
      <c r="L17" s="24"/>
      <c r="M17" s="24"/>
    </row>
    <row r="18" spans="1:14">
      <c r="A18" s="61">
        <v>75343</v>
      </c>
      <c r="B18" s="61" t="s">
        <v>758</v>
      </c>
      <c r="C18" s="61" t="s">
        <v>17</v>
      </c>
      <c r="D18" s="61" t="s">
        <v>2974</v>
      </c>
      <c r="E18" s="8" t="str">
        <f>HYPERLINK("https://stat100.ameba.jp/tnk47/ratio20/illustrations/card/ill_75343_resukuinnene03.jpg", "■")</f>
        <v>■</v>
      </c>
      <c r="F18" s="61" t="s">
        <v>2975</v>
      </c>
      <c r="G18" s="61"/>
      <c r="H18" s="61"/>
      <c r="I18" s="61" t="s">
        <v>802</v>
      </c>
      <c r="J18" s="61" t="s">
        <v>802</v>
      </c>
      <c r="K18" s="61" t="s">
        <v>802</v>
      </c>
      <c r="L18" s="61" t="s">
        <v>802</v>
      </c>
      <c r="M18" s="18" t="s">
        <v>802</v>
      </c>
      <c r="N18" s="61" t="s">
        <v>2068</v>
      </c>
    </row>
    <row r="19" spans="1:14">
      <c r="A19" s="24">
        <v>61843</v>
      </c>
      <c r="B19" s="24" t="s">
        <v>758</v>
      </c>
      <c r="C19" s="24" t="s">
        <v>44</v>
      </c>
      <c r="D19" s="22" t="s">
        <v>2182</v>
      </c>
      <c r="E19" s="8" t="str">
        <f>HYPERLINK("https://stat100.ameba.jp/tnk47/ratio20/illustrations/card/ill_61843_onikirishukurohime03.jpg", "■")</f>
        <v>■</v>
      </c>
      <c r="F19" s="24" t="s">
        <v>1371</v>
      </c>
      <c r="G19" s="24" t="s">
        <v>1081</v>
      </c>
      <c r="H19" s="24"/>
      <c r="I19" s="24" t="s">
        <v>802</v>
      </c>
      <c r="J19" s="24" t="s">
        <v>802</v>
      </c>
      <c r="K19" s="24" t="s">
        <v>802</v>
      </c>
      <c r="L19" s="24" t="s">
        <v>1966</v>
      </c>
      <c r="M19" s="18" t="s">
        <v>1964</v>
      </c>
      <c r="N19" s="24" t="s">
        <v>1970</v>
      </c>
    </row>
    <row r="20" spans="1:14">
      <c r="A20" s="24">
        <v>83503</v>
      </c>
      <c r="B20" s="24" t="s">
        <v>758</v>
      </c>
      <c r="C20" s="24" t="s">
        <v>44</v>
      </c>
      <c r="D20" s="22" t="s">
        <v>2510</v>
      </c>
      <c r="E20" s="8" t="str">
        <f>HYPERLINK("https://stat100.ameba.jp/tnk47/ratio20/illustrations/card/ill_83503_kajuenkurohime03.jpg", "■")</f>
        <v>■</v>
      </c>
      <c r="F20" s="24" t="s">
        <v>1372</v>
      </c>
      <c r="G20" s="24"/>
      <c r="H20" s="24" t="s">
        <v>1373</v>
      </c>
      <c r="I20" s="24">
        <v>24</v>
      </c>
      <c r="J20" s="24">
        <v>109528</v>
      </c>
      <c r="K20" s="24">
        <v>101656</v>
      </c>
      <c r="L20" s="24" t="s">
        <v>1760</v>
      </c>
      <c r="M20" s="24" t="s">
        <v>1705</v>
      </c>
      <c r="N20" s="24" t="s">
        <v>2068</v>
      </c>
    </row>
    <row r="21" spans="1:14">
      <c r="A21" s="24">
        <v>57683</v>
      </c>
      <c r="B21" s="24" t="s">
        <v>758</v>
      </c>
      <c r="C21" s="24" t="s">
        <v>87</v>
      </c>
      <c r="D21" s="22" t="s">
        <v>2184</v>
      </c>
      <c r="E21" s="8" t="str">
        <f>HYPERLINK("https://stat100.ameba.jp/tnk47/ratio20/illustrations/card/ill_57683_shogatsunisenjunanayamakawatomiko03.jpg", "■")</f>
        <v>■</v>
      </c>
      <c r="F21" s="24" t="s">
        <v>1383</v>
      </c>
      <c r="G21" s="24" t="s">
        <v>1166</v>
      </c>
      <c r="H21" s="24"/>
      <c r="I21" s="24" t="s">
        <v>802</v>
      </c>
      <c r="J21" s="24" t="s">
        <v>802</v>
      </c>
      <c r="K21" s="24" t="s">
        <v>802</v>
      </c>
      <c r="L21" s="24" t="s">
        <v>1769</v>
      </c>
      <c r="M21" s="18" t="s">
        <v>1965</v>
      </c>
      <c r="N21" s="24" t="s">
        <v>1970</v>
      </c>
    </row>
    <row r="22" spans="1:14">
      <c r="A22" s="24">
        <v>86843</v>
      </c>
      <c r="B22" s="24" t="s">
        <v>306</v>
      </c>
      <c r="C22" s="24" t="s">
        <v>87</v>
      </c>
      <c r="D22" s="22" t="s">
        <v>2186</v>
      </c>
      <c r="E22" s="8" t="str">
        <f>HYPERLINK("https://stat100.ameba.jp/tnk47/ratio20/illustrations/card/ill_86843_chokonohitoyotakerosho03.jpg", "■")</f>
        <v>■</v>
      </c>
      <c r="F22" s="24" t="s">
        <v>1390</v>
      </c>
      <c r="G22" s="24"/>
      <c r="H22" s="24" t="s">
        <v>1391</v>
      </c>
      <c r="I22" s="24">
        <v>26</v>
      </c>
      <c r="J22" s="24">
        <v>101558</v>
      </c>
      <c r="K22" s="24">
        <v>94390</v>
      </c>
      <c r="L22" s="24" t="s">
        <v>1770</v>
      </c>
      <c r="M22" s="24" t="s">
        <v>1771</v>
      </c>
      <c r="N22" s="24" t="s">
        <v>2068</v>
      </c>
    </row>
    <row r="23" spans="1:14">
      <c r="A23" s="24">
        <v>52603</v>
      </c>
      <c r="B23" s="24" t="s">
        <v>306</v>
      </c>
      <c r="C23" s="24" t="s">
        <v>1175</v>
      </c>
      <c r="D23" s="22" t="s">
        <v>2187</v>
      </c>
      <c r="E23" s="8" t="str">
        <f>HYPERLINK("https://stat100.ameba.jp/tnk47/ratio20/illustrations/card/ill_52603_sengokumibirakikimmedai03.jpg", "■")</f>
        <v>■</v>
      </c>
      <c r="F23" s="24" t="s">
        <v>2079</v>
      </c>
      <c r="G23" s="24" t="s">
        <v>1072</v>
      </c>
      <c r="H23" s="24"/>
      <c r="I23" s="24">
        <v>23</v>
      </c>
      <c r="J23" s="24">
        <v>82422</v>
      </c>
      <c r="K23" s="24">
        <v>88650</v>
      </c>
      <c r="L23" s="24" t="s">
        <v>2080</v>
      </c>
      <c r="M23" s="24" t="s">
        <v>3118</v>
      </c>
      <c r="N23" s="24" t="s">
        <v>1970</v>
      </c>
    </row>
    <row r="24" spans="1:14">
      <c r="A24" s="24">
        <v>78643</v>
      </c>
      <c r="B24" s="24" t="s">
        <v>758</v>
      </c>
      <c r="C24" s="24" t="s">
        <v>26</v>
      </c>
      <c r="D24" s="22" t="s">
        <v>2464</v>
      </c>
      <c r="E24" s="8" t="str">
        <f>HYPERLINK("https://stat100.ameba.jp/tnk47/ratio20/illustrations/card/ill_78643_geishunikumatsu03.jpg", "■")</f>
        <v>■</v>
      </c>
      <c r="F24" s="24" t="s">
        <v>2081</v>
      </c>
      <c r="G24" s="24"/>
      <c r="H24" s="24" t="s">
        <v>1340</v>
      </c>
      <c r="I24" s="24">
        <v>23</v>
      </c>
      <c r="J24" s="24">
        <v>93263</v>
      </c>
      <c r="K24" s="24">
        <v>86751</v>
      </c>
      <c r="L24" s="24" t="s">
        <v>2082</v>
      </c>
      <c r="M24" s="24" t="s">
        <v>927</v>
      </c>
      <c r="N24" s="24" t="s">
        <v>2068</v>
      </c>
    </row>
    <row r="25" spans="1:14">
      <c r="A25" s="24"/>
      <c r="B25" s="24"/>
      <c r="C25" s="24"/>
      <c r="D25" s="24"/>
      <c r="F25" s="24"/>
      <c r="G25" s="24"/>
      <c r="H25" s="24"/>
      <c r="I25" s="24"/>
      <c r="J25" s="24"/>
      <c r="K25" s="24"/>
      <c r="L25" s="24"/>
      <c r="M25" s="24"/>
    </row>
    <row r="26" spans="1:14">
      <c r="A26" s="24">
        <v>74543</v>
      </c>
      <c r="B26" s="24" t="s">
        <v>310</v>
      </c>
      <c r="C26" s="24" t="s">
        <v>17</v>
      </c>
      <c r="D26" s="22" t="s">
        <v>2511</v>
      </c>
      <c r="E26" s="8" t="str">
        <f>HYPERLINK("https://stat100.ameba.jp/tnk47/ratio20/illustrations/card/ill_74543_natsuyuenchikyogokumaria03.jpg", "■")</f>
        <v>■</v>
      </c>
      <c r="F26" s="24" t="s">
        <v>2086</v>
      </c>
      <c r="G26" s="24"/>
      <c r="H26" s="24" t="s">
        <v>1454</v>
      </c>
      <c r="I26" s="24" t="s">
        <v>802</v>
      </c>
      <c r="J26" s="24" t="s">
        <v>802</v>
      </c>
      <c r="K26" s="24" t="s">
        <v>802</v>
      </c>
      <c r="L26" s="24" t="s">
        <v>2085</v>
      </c>
      <c r="M26" s="24" t="s">
        <v>1227</v>
      </c>
      <c r="N26" s="24" t="s">
        <v>2068</v>
      </c>
    </row>
    <row r="27" spans="1:14">
      <c r="A27" s="24">
        <v>79323</v>
      </c>
      <c r="B27" s="24" t="s">
        <v>310</v>
      </c>
      <c r="C27" s="24" t="s">
        <v>191</v>
      </c>
      <c r="D27" s="22" t="s">
        <v>2188</v>
      </c>
      <c r="E27" s="8" t="str">
        <f>HYPERLINK("https://stat100.ameba.jp/tnk47/ratio20/illustrations/card/ill_79323_hommeichokonopperabo03.jpg", "■")</f>
        <v>■</v>
      </c>
      <c r="F27" s="24" t="s">
        <v>2087</v>
      </c>
      <c r="G27" s="24"/>
      <c r="H27" s="24" t="s">
        <v>1340</v>
      </c>
      <c r="I27" s="24">
        <v>23</v>
      </c>
      <c r="J27" s="24">
        <v>89121</v>
      </c>
      <c r="K27" s="24">
        <v>95830</v>
      </c>
      <c r="L27" s="24" t="s">
        <v>2088</v>
      </c>
      <c r="M27" s="24" t="s">
        <v>1738</v>
      </c>
      <c r="N27" s="24" t="s">
        <v>2068</v>
      </c>
    </row>
    <row r="28" spans="1:14">
      <c r="A28" s="24">
        <v>66383</v>
      </c>
      <c r="B28" s="24" t="s">
        <v>310</v>
      </c>
      <c r="C28" s="24" t="s">
        <v>149</v>
      </c>
      <c r="D28" s="22" t="s">
        <v>2512</v>
      </c>
      <c r="E28" s="8" t="str">
        <f>HYPERLINK("https://stat100.ameba.jp/tnk47/ratio20/illustrations/card/ill_66383_haroinkompeito03.jpg", "■")</f>
        <v>■</v>
      </c>
      <c r="F28" s="24" t="s">
        <v>2084</v>
      </c>
      <c r="G28" s="24"/>
      <c r="H28" s="24" t="s">
        <v>976</v>
      </c>
      <c r="I28" s="24" t="s">
        <v>802</v>
      </c>
      <c r="J28" s="24" t="s">
        <v>802</v>
      </c>
      <c r="K28" s="24" t="s">
        <v>802</v>
      </c>
      <c r="L28" s="24" t="s">
        <v>2083</v>
      </c>
      <c r="M28" s="24" t="s">
        <v>2095</v>
      </c>
      <c r="N28" s="24" t="s">
        <v>1970</v>
      </c>
    </row>
    <row r="29" spans="1:14">
      <c r="A29" s="61">
        <v>67983</v>
      </c>
      <c r="B29" s="61" t="s">
        <v>310</v>
      </c>
      <c r="C29" s="61" t="s">
        <v>26</v>
      </c>
      <c r="D29" s="61" t="s">
        <v>2976</v>
      </c>
      <c r="E29" s="8" t="str">
        <f>HYPERLINK("https://stat100.ameba.jp/tnk47/ratio20/illustrations/card/ill_67983_kurisumasupateikoshikibunonaishi03.jpg", "■")</f>
        <v>■</v>
      </c>
      <c r="F29" s="61" t="s">
        <v>2977</v>
      </c>
      <c r="G29" s="61"/>
      <c r="H29" s="61"/>
      <c r="I29" s="61" t="s">
        <v>802</v>
      </c>
      <c r="J29" s="61" t="s">
        <v>802</v>
      </c>
      <c r="K29" s="61" t="s">
        <v>802</v>
      </c>
      <c r="L29" s="61" t="s">
        <v>802</v>
      </c>
      <c r="M29" s="18" t="s">
        <v>802</v>
      </c>
      <c r="N29" s="61" t="s">
        <v>2068</v>
      </c>
    </row>
    <row r="30" spans="1:14">
      <c r="A30" s="24"/>
      <c r="B30" s="24"/>
      <c r="C30" s="24"/>
      <c r="D30" s="24"/>
      <c r="F30" s="24"/>
      <c r="G30" s="24"/>
      <c r="H30" s="24"/>
      <c r="I30" s="24"/>
      <c r="J30" s="24"/>
      <c r="K30" s="24"/>
      <c r="L30" s="24"/>
      <c r="M30" s="24"/>
      <c r="N30" s="24"/>
    </row>
    <row r="31" spans="1:14">
      <c r="A31" s="24">
        <v>63123</v>
      </c>
      <c r="B31" s="24" t="s">
        <v>168</v>
      </c>
      <c r="C31" s="24" t="s">
        <v>17</v>
      </c>
      <c r="D31" s="22" t="s">
        <v>2192</v>
      </c>
      <c r="E31" s="8" t="str">
        <f>HYPERLINK("https://stat100.ameba.jp/tnk47/ratio20/illustrations/card/ill_63123_minazukikongoryunotsubone03.jpg", "■")</f>
        <v>■</v>
      </c>
      <c r="F31" s="24" t="s">
        <v>1426</v>
      </c>
      <c r="G31" s="24"/>
      <c r="H31" s="24" t="s">
        <v>1427</v>
      </c>
      <c r="I31" s="24" t="s">
        <v>802</v>
      </c>
      <c r="J31" s="24" t="s">
        <v>802</v>
      </c>
      <c r="K31" s="24" t="s">
        <v>802</v>
      </c>
      <c r="L31" s="24" t="s">
        <v>1798</v>
      </c>
      <c r="M31" s="24" t="s">
        <v>1227</v>
      </c>
      <c r="N31" s="24" t="s">
        <v>1970</v>
      </c>
    </row>
    <row r="32" spans="1:14">
      <c r="A32" s="24">
        <v>77133</v>
      </c>
      <c r="B32" s="24" t="s">
        <v>168</v>
      </c>
      <c r="C32" s="24" t="s">
        <v>488</v>
      </c>
      <c r="D32" s="22" t="s">
        <v>2194</v>
      </c>
      <c r="E32" s="8" t="str">
        <f>HYPERLINK("https://stat100.ameba.jp/tnk47/ratio20/illustrations/card/ill_77133_yukemuriyozenin03.jpg", "■")</f>
        <v>■</v>
      </c>
      <c r="F32" s="24" t="s">
        <v>1429</v>
      </c>
      <c r="G32" s="24" t="s">
        <v>1960</v>
      </c>
      <c r="H32" s="24" t="s">
        <v>3418</v>
      </c>
      <c r="I32" s="24">
        <v>22</v>
      </c>
      <c r="J32" s="24">
        <v>79868</v>
      </c>
      <c r="K32" s="24">
        <v>85934</v>
      </c>
      <c r="L32" s="24" t="s">
        <v>1800</v>
      </c>
      <c r="M32" s="24" t="s">
        <v>798</v>
      </c>
      <c r="N32" s="24" t="s">
        <v>2068</v>
      </c>
    </row>
    <row r="33" spans="1:14">
      <c r="A33" s="24">
        <v>66393</v>
      </c>
      <c r="B33" s="24" t="s">
        <v>168</v>
      </c>
      <c r="C33" s="24" t="s">
        <v>1183</v>
      </c>
      <c r="D33" s="22" t="s">
        <v>2196</v>
      </c>
      <c r="E33" s="8" t="str">
        <f>HYPERLINK("https://stat100.ameba.jp/tnk47/ratio20/illustrations/card/ill_66393_harointsurunongaeshi03.jpg", "■")</f>
        <v>■</v>
      </c>
      <c r="F33" s="24" t="s">
        <v>1434</v>
      </c>
      <c r="G33" s="24"/>
      <c r="H33" s="24" t="s">
        <v>976</v>
      </c>
      <c r="I33" s="24" t="s">
        <v>802</v>
      </c>
      <c r="J33" s="24" t="s">
        <v>802</v>
      </c>
      <c r="K33" s="24" t="s">
        <v>802</v>
      </c>
      <c r="L33" s="24" t="s">
        <v>1804</v>
      </c>
      <c r="M33" s="24" t="s">
        <v>2030</v>
      </c>
      <c r="N33" s="24" t="s">
        <v>1970</v>
      </c>
    </row>
    <row r="34" spans="1:14">
      <c r="A34" s="24">
        <v>82383</v>
      </c>
      <c r="B34" s="24" t="s">
        <v>168</v>
      </c>
      <c r="C34" s="24" t="s">
        <v>1183</v>
      </c>
      <c r="D34" s="22" t="s">
        <v>2197</v>
      </c>
      <c r="E34" s="8" t="str">
        <f>HYPERLINK("https://stat100.ameba.jp/tnk47/ratio20/illustrations/card/ill_82383_bikinigaruyagamihime03.jpg", "■")</f>
        <v>■</v>
      </c>
      <c r="F34" s="24" t="s">
        <v>1435</v>
      </c>
      <c r="G34" s="24"/>
      <c r="H34" s="24" t="s">
        <v>1436</v>
      </c>
      <c r="I34" s="24">
        <v>24</v>
      </c>
      <c r="J34" s="24">
        <v>109528</v>
      </c>
      <c r="K34" s="24">
        <v>101656</v>
      </c>
      <c r="L34" s="24" t="s">
        <v>1805</v>
      </c>
      <c r="M34" s="24" t="s">
        <v>1806</v>
      </c>
      <c r="N34" s="24" t="s">
        <v>2068</v>
      </c>
    </row>
    <row r="35" spans="1:14">
      <c r="A35" s="24">
        <v>86853</v>
      </c>
      <c r="B35" s="24" t="s">
        <v>168</v>
      </c>
      <c r="C35" s="24" t="s">
        <v>154</v>
      </c>
      <c r="D35" s="22" t="s">
        <v>2198</v>
      </c>
      <c r="E35" s="8" t="str">
        <f>HYPERLINK("https://stat100.ameba.jp/tnk47/ratio20/illustrations/card/ill_86853_chokonohisangoiro03.jpg", "■")</f>
        <v>■</v>
      </c>
      <c r="F35" s="24" t="s">
        <v>1437</v>
      </c>
      <c r="H35" s="24" t="s">
        <v>3200</v>
      </c>
      <c r="I35" s="24">
        <v>26</v>
      </c>
      <c r="J35" s="24">
        <v>110126</v>
      </c>
      <c r="K35" s="24">
        <v>118656</v>
      </c>
      <c r="L35" s="24" t="s">
        <v>1807</v>
      </c>
      <c r="M35" s="24" t="s">
        <v>1808</v>
      </c>
      <c r="N35" s="24" t="s">
        <v>2068</v>
      </c>
    </row>
    <row r="36" spans="1:14">
      <c r="A36" s="24">
        <v>78653</v>
      </c>
      <c r="B36" s="24" t="s">
        <v>168</v>
      </c>
      <c r="C36" s="24" t="s">
        <v>191</v>
      </c>
      <c r="D36" s="22" t="s">
        <v>2199</v>
      </c>
      <c r="E36" s="8" t="str">
        <f>HYPERLINK("https://stat100.ameba.jp/tnk47/ratio20/illustrations/card/ill_78653_geishumbakedanuki03.jpg", "■")</f>
        <v>■</v>
      </c>
      <c r="F36" s="24" t="s">
        <v>1441</v>
      </c>
      <c r="G36" s="24"/>
      <c r="H36" s="24" t="s">
        <v>1442</v>
      </c>
      <c r="I36" s="24">
        <v>23</v>
      </c>
      <c r="J36" s="24">
        <v>95830</v>
      </c>
      <c r="K36" s="24">
        <v>95830</v>
      </c>
      <c r="L36" s="24" t="s">
        <v>1814</v>
      </c>
      <c r="M36" s="24" t="s">
        <v>2032</v>
      </c>
      <c r="N36" s="24" t="s">
        <v>2068</v>
      </c>
    </row>
    <row r="37" spans="1:14">
      <c r="A37" s="24">
        <v>51883</v>
      </c>
      <c r="B37" s="24" t="s">
        <v>168</v>
      </c>
      <c r="C37" s="24" t="s">
        <v>51</v>
      </c>
      <c r="D37" s="22" t="s">
        <v>2200</v>
      </c>
      <c r="E37" s="8" t="str">
        <f>HYPERLINK("https://stat100.ameba.jp/tnk47/ratio20/illustrations/card/ill_51883_kemonomizugikotohiraguchan03.jpg", "■")</f>
        <v>■</v>
      </c>
      <c r="F37" s="24" t="s">
        <v>1445</v>
      </c>
      <c r="G37" s="24" t="s">
        <v>1284</v>
      </c>
      <c r="H37" s="24"/>
      <c r="I37" s="24">
        <v>25</v>
      </c>
      <c r="J37" s="24">
        <v>89590</v>
      </c>
      <c r="K37" s="24">
        <v>96360</v>
      </c>
      <c r="L37" s="24" t="s">
        <v>1816</v>
      </c>
      <c r="M37" s="24" t="s">
        <v>2033</v>
      </c>
      <c r="N37" s="24" t="s">
        <v>1970</v>
      </c>
    </row>
    <row r="38" spans="1:14">
      <c r="A38" s="24">
        <v>75353</v>
      </c>
      <c r="B38" s="24" t="s">
        <v>168</v>
      </c>
      <c r="C38" s="24" t="s">
        <v>149</v>
      </c>
      <c r="D38" s="22" t="s">
        <v>2202</v>
      </c>
      <c r="E38" s="8" t="str">
        <f>HYPERLINK("https://stat100.ameba.jp/tnk47/ratio20/illustrations/card/ill_75353_resukuimmerompan03.jpg", "■")</f>
        <v>■</v>
      </c>
      <c r="F38" s="24" t="s">
        <v>1469</v>
      </c>
      <c r="G38" s="24"/>
      <c r="H38" s="24" t="s">
        <v>1470</v>
      </c>
      <c r="I38" s="24" t="s">
        <v>802</v>
      </c>
      <c r="J38" s="24" t="s">
        <v>802</v>
      </c>
      <c r="K38" s="24" t="s">
        <v>802</v>
      </c>
      <c r="L38" s="24" t="s">
        <v>1834</v>
      </c>
      <c r="M38" s="24" t="s">
        <v>2004</v>
      </c>
      <c r="N38" s="24" t="s">
        <v>2068</v>
      </c>
    </row>
    <row r="39" spans="1:14">
      <c r="A39" s="24">
        <v>64903</v>
      </c>
      <c r="B39" s="24" t="s">
        <v>168</v>
      </c>
      <c r="C39" s="24" t="s">
        <v>174</v>
      </c>
      <c r="D39" s="22" t="s">
        <v>2204</v>
      </c>
      <c r="E39" s="8" t="str">
        <f>HYPERLINK("https://stat100.ameba.jp/tnk47/ratio20/illustrations/card/ill_64901_yukatasuseribime03.jpg", "■")</f>
        <v>■</v>
      </c>
      <c r="F39" s="24" t="s">
        <v>1473</v>
      </c>
      <c r="G39" s="24" t="s">
        <v>1166</v>
      </c>
      <c r="H39" s="24"/>
      <c r="I39" s="24" t="s">
        <v>802</v>
      </c>
      <c r="J39" s="24" t="s">
        <v>802</v>
      </c>
      <c r="K39" s="24" t="s">
        <v>802</v>
      </c>
      <c r="L39" s="24" t="s">
        <v>1839</v>
      </c>
      <c r="M39" s="18" t="s">
        <v>1969</v>
      </c>
      <c r="N39" s="24" t="s">
        <v>1970</v>
      </c>
    </row>
    <row r="40" spans="1:14">
      <c r="A40" s="61">
        <v>69543</v>
      </c>
      <c r="B40" s="61" t="s">
        <v>168</v>
      </c>
      <c r="C40" s="61" t="s">
        <v>174</v>
      </c>
      <c r="D40" s="61" t="s">
        <v>2978</v>
      </c>
      <c r="E40" s="8" t="str">
        <f>HYPERLINK("https://stat100.ameba.jp/tnk47/ratio20/illustrations/card/ill_69543_setsubunehimenomikoto03.jpg", "■")</f>
        <v>■</v>
      </c>
      <c r="F40" s="61" t="s">
        <v>2979</v>
      </c>
      <c r="G40" s="61"/>
      <c r="H40" s="61"/>
      <c r="I40" s="61" t="s">
        <v>802</v>
      </c>
      <c r="J40" s="61" t="s">
        <v>802</v>
      </c>
      <c r="K40" s="61" t="s">
        <v>802</v>
      </c>
      <c r="L40" s="61" t="s">
        <v>802</v>
      </c>
      <c r="M40" s="18" t="s">
        <v>802</v>
      </c>
      <c r="N40" s="61" t="s">
        <v>2068</v>
      </c>
    </row>
    <row r="41" spans="1:14">
      <c r="A41" s="24">
        <v>86233</v>
      </c>
      <c r="B41" s="24" t="s">
        <v>168</v>
      </c>
      <c r="C41" s="24" t="s">
        <v>26</v>
      </c>
      <c r="D41" s="22" t="s">
        <v>2205</v>
      </c>
      <c r="E41" s="8" t="str">
        <f>HYPERLINK("https://stat100.ameba.jp/tnk47/ratio20/illustrations/card/ill_86233_oshogatsukoizumiyakumo03.jpg", "■")</f>
        <v>■</v>
      </c>
      <c r="F41" s="24" t="s">
        <v>1478</v>
      </c>
      <c r="G41" s="24"/>
      <c r="H41" s="24" t="s">
        <v>1479</v>
      </c>
      <c r="I41" s="24">
        <v>26</v>
      </c>
      <c r="J41" s="24">
        <v>101558</v>
      </c>
      <c r="K41" s="24">
        <v>94390</v>
      </c>
      <c r="L41" s="24" t="s">
        <v>1845</v>
      </c>
      <c r="M41" s="24" t="s">
        <v>1846</v>
      </c>
      <c r="N41" s="24" t="s">
        <v>2068</v>
      </c>
    </row>
    <row r="42" spans="1:14">
      <c r="A42" s="24"/>
      <c r="B42" s="24"/>
      <c r="C42" s="24"/>
      <c r="D42" s="24"/>
      <c r="F42" s="24"/>
      <c r="G42" s="24"/>
      <c r="H42" s="24"/>
      <c r="I42" s="24"/>
      <c r="J42" s="24"/>
      <c r="K42" s="24"/>
      <c r="L42" s="24"/>
      <c r="M42" s="24"/>
    </row>
    <row r="43" spans="1:14">
      <c r="A43" s="24">
        <v>65673</v>
      </c>
      <c r="B43" s="24" t="s">
        <v>316</v>
      </c>
      <c r="C43" s="24" t="s">
        <v>154</v>
      </c>
      <c r="D43" s="22" t="s">
        <v>2208</v>
      </c>
      <c r="E43" s="8" t="str">
        <f>HYPERLINK("https://stat100.ameba.jp/tnk47/ratio20/illustrations/card/ill_65673_undokairyuguneko03.jpg", "■")</f>
        <v>■</v>
      </c>
      <c r="F43" s="24" t="s">
        <v>2092</v>
      </c>
      <c r="G43" s="24"/>
      <c r="H43" s="24" t="s">
        <v>1340</v>
      </c>
      <c r="I43" s="24" t="s">
        <v>802</v>
      </c>
      <c r="J43" s="24" t="s">
        <v>802</v>
      </c>
      <c r="K43" s="24" t="s">
        <v>802</v>
      </c>
      <c r="L43" s="24" t="s">
        <v>2091</v>
      </c>
      <c r="M43" s="24" t="s">
        <v>3119</v>
      </c>
      <c r="N43" s="24" t="s">
        <v>1970</v>
      </c>
    </row>
    <row r="44" spans="1:14">
      <c r="A44" s="24">
        <v>63133</v>
      </c>
      <c r="B44" s="24" t="s">
        <v>1161</v>
      </c>
      <c r="C44" s="24" t="s">
        <v>87</v>
      </c>
      <c r="D44" s="22" t="s">
        <v>2209</v>
      </c>
      <c r="E44" s="8" t="str">
        <f>HYPERLINK("https://stat100.ameba.jp/tnk47/ratio20/illustrations/card/ill_63133_minazukikonkusumotoine03.jpg", "■")</f>
        <v>■</v>
      </c>
      <c r="F44" s="24" t="s">
        <v>1493</v>
      </c>
      <c r="G44" s="24" t="s">
        <v>1084</v>
      </c>
      <c r="H44" s="24"/>
      <c r="I44" s="24" t="s">
        <v>802</v>
      </c>
      <c r="J44" s="24" t="s">
        <v>802</v>
      </c>
      <c r="K44" s="24" t="s">
        <v>802</v>
      </c>
      <c r="L44" s="24" t="s">
        <v>1962</v>
      </c>
      <c r="M44" s="18" t="s">
        <v>1963</v>
      </c>
      <c r="N44" s="24" t="s">
        <v>1970</v>
      </c>
    </row>
    <row r="45" spans="1:14">
      <c r="A45" s="61">
        <v>71363</v>
      </c>
      <c r="B45" s="61" t="s">
        <v>1161</v>
      </c>
      <c r="C45" s="61" t="s">
        <v>87</v>
      </c>
      <c r="D45" s="61" t="s">
        <v>2980</v>
      </c>
      <c r="E45" s="8" t="str">
        <f>HYPERLINK("https://stat100.ameba.jp/tnk47/ratio20/illustrations/card/ill_71363_ohanamiamakusashiro03.jpg", "■")</f>
        <v>■</v>
      </c>
      <c r="F45" s="61" t="s">
        <v>2981</v>
      </c>
      <c r="G45" s="61"/>
      <c r="H45" s="61"/>
      <c r="I45" s="61" t="s">
        <v>802</v>
      </c>
      <c r="J45" s="61" t="s">
        <v>802</v>
      </c>
      <c r="K45" s="61" t="s">
        <v>802</v>
      </c>
      <c r="L45" s="61" t="s">
        <v>802</v>
      </c>
      <c r="M45" s="18" t="s">
        <v>802</v>
      </c>
      <c r="N45" s="61" t="s">
        <v>2068</v>
      </c>
    </row>
    <row r="46" spans="1:14">
      <c r="A46" s="24">
        <v>61853</v>
      </c>
      <c r="B46" s="24" t="s">
        <v>1161</v>
      </c>
      <c r="C46" s="24" t="s">
        <v>149</v>
      </c>
      <c r="D46" s="22" t="s">
        <v>2210</v>
      </c>
      <c r="E46" s="8" t="str">
        <f>HYPERLINK("https://stat100.ameba.jp/tnk47/ratio20/illustrations/card/ill_61853_onikirishuyoriyorichan03.jpg", "■")</f>
        <v>■</v>
      </c>
      <c r="F46" s="24" t="s">
        <v>1498</v>
      </c>
      <c r="G46" s="24" t="s">
        <v>1131</v>
      </c>
      <c r="H46" s="24"/>
      <c r="I46" s="24" t="s">
        <v>802</v>
      </c>
      <c r="J46" s="24" t="s">
        <v>802</v>
      </c>
      <c r="K46" s="24" t="s">
        <v>802</v>
      </c>
      <c r="L46" s="24" t="s">
        <v>1961</v>
      </c>
      <c r="M46" s="18" t="s">
        <v>1833</v>
      </c>
      <c r="N46" s="24" t="s">
        <v>1970</v>
      </c>
    </row>
    <row r="47" spans="1:14">
      <c r="A47" s="24">
        <v>79333</v>
      </c>
      <c r="B47" s="24" t="s">
        <v>1161</v>
      </c>
      <c r="C47" s="24" t="s">
        <v>149</v>
      </c>
      <c r="D47" s="22" t="s">
        <v>2211</v>
      </c>
      <c r="E47" s="8" t="str">
        <f>HYPERLINK("https://stat100.ameba.jp/tnk47/ratio20/illustrations/card/ill_79333_hommeichokochokoretokeki03.jpg", "■")</f>
        <v>■</v>
      </c>
      <c r="F47" s="24" t="s">
        <v>2093</v>
      </c>
      <c r="G47" s="24"/>
      <c r="H47" s="24" t="s">
        <v>1340</v>
      </c>
      <c r="I47" s="24">
        <v>23</v>
      </c>
      <c r="J47" s="24">
        <v>101002</v>
      </c>
      <c r="K47" s="24">
        <v>108617</v>
      </c>
      <c r="L47" s="24" t="s">
        <v>2094</v>
      </c>
      <c r="M47" s="24" t="s">
        <v>2095</v>
      </c>
      <c r="N47" s="24" t="s">
        <v>2068</v>
      </c>
    </row>
    <row r="48" spans="1:14">
      <c r="A48" s="24">
        <v>84163</v>
      </c>
      <c r="B48" s="24" t="s">
        <v>1161</v>
      </c>
      <c r="C48" s="24" t="s">
        <v>26</v>
      </c>
      <c r="D48" s="22" t="s">
        <v>2213</v>
      </c>
      <c r="E48" s="8" t="str">
        <f>HYPERLINK("https://stat100.ameba.jp/tnk47/ratio20/illustrations/card/ill_84163_tarottokameishokin03.jpg", "■")</f>
        <v>■</v>
      </c>
      <c r="F48" s="24" t="s">
        <v>1504</v>
      </c>
      <c r="G48" s="24" t="s">
        <v>1334</v>
      </c>
      <c r="H48" s="24" t="s">
        <v>1505</v>
      </c>
      <c r="I48" s="24">
        <v>25</v>
      </c>
      <c r="J48" s="24">
        <v>94295</v>
      </c>
      <c r="K48" s="24">
        <v>101373</v>
      </c>
      <c r="L48" s="24" t="s">
        <v>1860</v>
      </c>
      <c r="M48" s="24" t="s">
        <v>1861</v>
      </c>
      <c r="N48" s="24" t="s">
        <v>2068</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ラッキーメダル</vt:lpstr>
      <vt:lpstr>合体</vt:lpstr>
      <vt:lpstr>強DOWN</vt:lpstr>
      <vt:lpstr>6地方</vt:lpstr>
      <vt:lpstr>不良魂</vt:lpstr>
      <vt:lpstr>ロボティクス</vt:lpstr>
      <vt:lpstr>天幻来迎</vt:lpstr>
      <vt:lpstr>雑多な覚書1</vt:lpstr>
      <vt:lpstr>雑多な覚書2</vt:lpstr>
      <vt:lpstr>雑多な覚書3</vt:lpstr>
      <vt:lpstr>雑多な覚書4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2022-05-23T11:58:48Z</dcterms:modified>
</cp:coreProperties>
</file>