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c3ef404b9afc1be2/ドキュメント/天クロ/"/>
    </mc:Choice>
  </mc:AlternateContent>
  <xr:revisionPtr revIDLastSave="817" documentId="13_ncr:1_{FC06FE1D-4EC9-44BB-99A6-210253C30A5B}" xr6:coauthVersionLast="47" xr6:coauthVersionMax="47" xr10:uidLastSave="{688AF27B-22D5-422C-A17A-30BE94A49831}"/>
  <bookViews>
    <workbookView xWindow="1190" yWindow="1160" windowWidth="13720" windowHeight="10880" xr2:uid="{00000000-000D-0000-FFFF-FFFF00000000}"/>
  </bookViews>
  <sheets>
    <sheet name="ラッキーメダル" sheetId="1" r:id="rId1"/>
    <sheet name="強DOWN" sheetId="2" r:id="rId2"/>
    <sheet name="合体防衛戦" sheetId="3" r:id="rId3"/>
    <sheet name="合体その他" sheetId="4" r:id="rId4"/>
    <sheet name="5進化防衛戦" sheetId="5" r:id="rId5"/>
    <sheet name="5進化ガチャ" sheetId="6" r:id="rId6"/>
    <sheet name="5進化引換券" sheetId="7" r:id="rId7"/>
    <sheet name="スキル封じ" sheetId="8" r:id="rId8"/>
    <sheet name="天クロガチャ系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1" i="1" l="1"/>
  <c r="F220" i="1"/>
  <c r="F219" i="1"/>
  <c r="F218" i="1"/>
  <c r="F224" i="6"/>
  <c r="F223" i="6"/>
  <c r="F48" i="5"/>
  <c r="F222" i="6" l="1"/>
  <c r="F221" i="6"/>
  <c r="F220" i="6"/>
  <c r="F219" i="6"/>
  <c r="F215" i="1" l="1"/>
  <c r="F214" i="1"/>
  <c r="F213" i="1"/>
  <c r="F212" i="1"/>
  <c r="F209" i="1"/>
  <c r="F208" i="1"/>
  <c r="F207" i="1"/>
  <c r="F206" i="1"/>
  <c r="F47" i="5"/>
  <c r="F218" i="6"/>
  <c r="F217" i="6"/>
  <c r="F216" i="6" l="1"/>
  <c r="F46" i="5"/>
  <c r="F213" i="6" l="1"/>
  <c r="F212" i="6" l="1"/>
  <c r="F211" i="6"/>
  <c r="F43" i="5" l="1"/>
  <c r="F186" i="6"/>
  <c r="F210" i="6" l="1"/>
  <c r="F209" i="6" l="1"/>
  <c r="F42" i="5"/>
  <c r="F208" i="6" l="1"/>
  <c r="F204" i="6" l="1"/>
  <c r="F201" i="6"/>
  <c r="F198" i="6"/>
  <c r="F195" i="6"/>
  <c r="F192" i="6"/>
  <c r="F203" i="6"/>
  <c r="F200" i="6"/>
  <c r="F197" i="6"/>
  <c r="F194" i="6"/>
  <c r="F191" i="6"/>
  <c r="F207" i="6"/>
  <c r="F206" i="6" l="1"/>
  <c r="F202" i="6"/>
  <c r="F205" i="6" l="1"/>
  <c r="F41" i="5" l="1"/>
  <c r="F201" i="1"/>
  <c r="F200" i="1"/>
  <c r="F199" i="1"/>
  <c r="F198" i="1"/>
  <c r="F189" i="6"/>
  <c r="F40" i="5"/>
  <c r="E8" i="8"/>
  <c r="E5" i="8"/>
  <c r="E7" i="8"/>
  <c r="E6" i="8"/>
  <c r="E4" i="8"/>
  <c r="E3" i="8"/>
  <c r="E11" i="8"/>
  <c r="E10" i="8"/>
  <c r="E9" i="8"/>
  <c r="F195" i="1"/>
  <c r="F194" i="1"/>
  <c r="F193" i="1"/>
  <c r="F192" i="1"/>
  <c r="F39" i="5" l="1"/>
  <c r="F188" i="6"/>
  <c r="F199" i="6"/>
  <c r="F187" i="6"/>
  <c r="F193" i="6"/>
  <c r="F190" i="6" l="1"/>
  <c r="F196" i="6"/>
  <c r="AK95" i="7"/>
  <c r="AK94" i="7"/>
  <c r="AK93" i="7"/>
  <c r="AK92" i="7"/>
  <c r="AK91" i="7"/>
  <c r="AK90" i="7"/>
  <c r="E95" i="7"/>
  <c r="E94" i="7"/>
  <c r="E93" i="7"/>
  <c r="E92" i="7"/>
  <c r="E91" i="7"/>
  <c r="E90" i="7"/>
  <c r="F189" i="1"/>
  <c r="F188" i="1"/>
  <c r="F187" i="1"/>
  <c r="F186" i="1"/>
  <c r="F183" i="1"/>
  <c r="F182" i="1"/>
  <c r="F181" i="1"/>
  <c r="F180" i="1" l="1"/>
  <c r="F38" i="5"/>
  <c r="F37" i="5"/>
  <c r="F36" i="5" l="1"/>
  <c r="F35" i="5"/>
  <c r="F34" i="5"/>
  <c r="F185" i="6" l="1"/>
  <c r="F184" i="6" l="1"/>
  <c r="F177" i="1"/>
  <c r="F176" i="1"/>
  <c r="F175" i="1"/>
  <c r="F174" i="1"/>
  <c r="F175" i="6"/>
  <c r="F174" i="6" l="1"/>
  <c r="F180" i="6"/>
  <c r="F183" i="6"/>
  <c r="F182" i="6" l="1"/>
  <c r="F181" i="6" l="1"/>
  <c r="F33" i="5" l="1"/>
  <c r="AK37" i="7"/>
  <c r="F29" i="5"/>
  <c r="F28" i="5"/>
  <c r="F32" i="5"/>
  <c r="F168" i="1"/>
  <c r="F169" i="1"/>
  <c r="F170" i="1"/>
  <c r="F171" i="1"/>
  <c r="F179" i="6"/>
  <c r="F178" i="6" l="1"/>
  <c r="F172" i="6" l="1"/>
  <c r="F170" i="6"/>
  <c r="F171" i="6"/>
  <c r="F173" i="6"/>
  <c r="F5" i="1" l="1"/>
  <c r="F168" i="6" l="1"/>
  <c r="F169" i="6"/>
  <c r="G12" i="3" l="1"/>
  <c r="AK89" i="7"/>
  <c r="AK88" i="7"/>
  <c r="AK87" i="7"/>
  <c r="E89" i="7"/>
  <c r="E88" i="7"/>
  <c r="E87" i="7"/>
  <c r="F164" i="1" l="1"/>
  <c r="F163" i="1"/>
  <c r="F162" i="1"/>
  <c r="F161" i="1"/>
  <c r="F167" i="6" l="1"/>
  <c r="F27" i="5" l="1"/>
  <c r="E15" i="9" l="1"/>
  <c r="E8" i="9"/>
  <c r="E14" i="9"/>
  <c r="E7" i="9"/>
  <c r="E13" i="9"/>
  <c r="E6" i="9"/>
  <c r="E12" i="9"/>
  <c r="E5" i="9"/>
  <c r="E11" i="9"/>
  <c r="E4" i="9"/>
  <c r="E10" i="9"/>
  <c r="E3" i="9"/>
  <c r="E19" i="9" l="1"/>
  <c r="E17" i="9"/>
  <c r="E18" i="9"/>
  <c r="F166" i="6" l="1"/>
  <c r="F165" i="6" l="1"/>
  <c r="F164" i="6" l="1"/>
  <c r="AK86" i="7" l="1"/>
  <c r="AK85" i="7"/>
  <c r="AK84" i="7"/>
  <c r="E86" i="7"/>
  <c r="E85" i="7"/>
  <c r="E84" i="7"/>
  <c r="F26" i="5" l="1"/>
  <c r="F25" i="5" l="1"/>
  <c r="F24" i="5"/>
  <c r="F159" i="6"/>
  <c r="F163" i="6"/>
  <c r="F162" i="6"/>
  <c r="F161" i="6"/>
  <c r="F160" i="6"/>
  <c r="F158" i="6"/>
  <c r="F157" i="6"/>
  <c r="F156" i="6"/>
  <c r="AK82" i="7"/>
  <c r="AK81" i="7"/>
  <c r="AK83" i="7"/>
  <c r="E83" i="7"/>
  <c r="E82" i="7"/>
  <c r="E81" i="7"/>
  <c r="F158" i="1" l="1"/>
  <c r="F157" i="1"/>
  <c r="F156" i="1"/>
  <c r="F155" i="1"/>
  <c r="F152" i="1" l="1"/>
  <c r="F151" i="1"/>
  <c r="F150" i="1"/>
  <c r="F149" i="1"/>
  <c r="F155" i="6" l="1"/>
  <c r="F23" i="5" l="1"/>
  <c r="F154" i="6" l="1"/>
  <c r="F153" i="6" l="1"/>
  <c r="F22" i="5" l="1"/>
  <c r="F152" i="6"/>
  <c r="AK74" i="7" l="1"/>
  <c r="AK80" i="7"/>
  <c r="AK79" i="7"/>
  <c r="AK78" i="7"/>
  <c r="E80" i="7"/>
  <c r="E79" i="7"/>
  <c r="E78" i="7"/>
  <c r="G5" i="3" l="1"/>
  <c r="G4" i="3"/>
  <c r="F127" i="6" l="1"/>
  <c r="F128" i="6"/>
  <c r="F136" i="6"/>
  <c r="F143" i="6"/>
  <c r="F151" i="6"/>
  <c r="F145" i="1" l="1"/>
  <c r="F146" i="1"/>
  <c r="F144" i="1"/>
  <c r="F143" i="1"/>
  <c r="F150" i="6" l="1"/>
  <c r="F21" i="5" l="1"/>
  <c r="AK77" i="7" l="1"/>
  <c r="E77" i="7"/>
  <c r="AK76" i="7"/>
  <c r="E76" i="7"/>
  <c r="AK75" i="7"/>
  <c r="E75" i="7"/>
  <c r="E74" i="7"/>
  <c r="AK73" i="7"/>
  <c r="E73" i="7"/>
  <c r="AK72" i="7"/>
  <c r="E72" i="7"/>
  <c r="AK71" i="7"/>
  <c r="E71" i="7"/>
  <c r="AK70" i="7"/>
  <c r="E70" i="7"/>
  <c r="AK69" i="7"/>
  <c r="E69" i="7"/>
  <c r="AK68" i="7"/>
  <c r="E68" i="7"/>
  <c r="AK67" i="7"/>
  <c r="E67" i="7"/>
  <c r="AK66" i="7"/>
  <c r="E66" i="7"/>
  <c r="AK65" i="7"/>
  <c r="E65" i="7"/>
  <c r="AK64" i="7"/>
  <c r="E64" i="7"/>
  <c r="AK63" i="7"/>
  <c r="E63" i="7"/>
  <c r="AK62" i="7"/>
  <c r="E62" i="7"/>
  <c r="AK61" i="7"/>
  <c r="E61" i="7"/>
  <c r="AK60" i="7"/>
  <c r="E60" i="7"/>
  <c r="AK59" i="7"/>
  <c r="E59" i="7"/>
  <c r="AK58" i="7"/>
  <c r="E58" i="7"/>
  <c r="AK57" i="7"/>
  <c r="E57" i="7"/>
  <c r="AK56" i="7"/>
  <c r="E56" i="7"/>
  <c r="AK55" i="7"/>
  <c r="E55" i="7"/>
  <c r="AK54" i="7"/>
  <c r="E54" i="7"/>
  <c r="AK53" i="7"/>
  <c r="E53" i="7"/>
  <c r="AK52" i="7"/>
  <c r="E52" i="7"/>
  <c r="AK51" i="7"/>
  <c r="E51" i="7"/>
  <c r="AK50" i="7"/>
  <c r="E50" i="7"/>
  <c r="AK49" i="7"/>
  <c r="E49" i="7"/>
  <c r="AK48" i="7"/>
  <c r="E48" i="7"/>
  <c r="AK47" i="7"/>
  <c r="E47" i="7"/>
  <c r="AK46" i="7"/>
  <c r="E46" i="7"/>
  <c r="AK45" i="7"/>
  <c r="E45" i="7"/>
  <c r="AK44" i="7"/>
  <c r="E44" i="7"/>
  <c r="AK43" i="7"/>
  <c r="E43" i="7"/>
  <c r="AK42" i="7"/>
  <c r="E42" i="7"/>
  <c r="AK41" i="7"/>
  <c r="E41" i="7"/>
  <c r="AK40" i="7"/>
  <c r="E40" i="7"/>
  <c r="AK39" i="7"/>
  <c r="E39" i="7"/>
  <c r="AK38" i="7"/>
  <c r="E38" i="7"/>
  <c r="E37" i="7"/>
  <c r="AK36" i="7"/>
  <c r="E36" i="7"/>
  <c r="AK35" i="7"/>
  <c r="E35" i="7"/>
  <c r="AK34" i="7"/>
  <c r="E34" i="7"/>
  <c r="AK33" i="7"/>
  <c r="E33" i="7"/>
  <c r="AK32" i="7"/>
  <c r="E32" i="7"/>
  <c r="AK31" i="7"/>
  <c r="E31" i="7"/>
  <c r="AK30" i="7"/>
  <c r="E30" i="7"/>
  <c r="AK29" i="7"/>
  <c r="E29" i="7"/>
  <c r="AK28" i="7"/>
  <c r="E28" i="7"/>
  <c r="AK27" i="7"/>
  <c r="E27" i="7"/>
  <c r="AK26" i="7"/>
  <c r="E26" i="7"/>
  <c r="AK25" i="7"/>
  <c r="E25" i="7"/>
  <c r="AK24" i="7"/>
  <c r="E24" i="7"/>
  <c r="AK23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F149" i="6"/>
  <c r="F148" i="6"/>
  <c r="F147" i="6"/>
  <c r="F146" i="6"/>
  <c r="F145" i="6"/>
  <c r="F144" i="6"/>
  <c r="F142" i="6"/>
  <c r="F141" i="6"/>
  <c r="F140" i="6"/>
  <c r="F137" i="6"/>
  <c r="F135" i="6"/>
  <c r="F134" i="6"/>
  <c r="F133" i="6"/>
  <c r="F132" i="6"/>
  <c r="F131" i="6"/>
  <c r="F130" i="6"/>
  <c r="F129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0" i="5"/>
  <c r="F19" i="5"/>
  <c r="F18" i="5"/>
  <c r="F15" i="5"/>
  <c r="F14" i="5"/>
  <c r="F13" i="5"/>
  <c r="F12" i="5"/>
  <c r="F11" i="5"/>
  <c r="F10" i="5"/>
  <c r="F9" i="5"/>
  <c r="F8" i="5"/>
  <c r="F7" i="5"/>
  <c r="F6" i="5"/>
  <c r="F5" i="5"/>
  <c r="F4" i="5"/>
  <c r="G83" i="4"/>
  <c r="G82" i="4"/>
  <c r="G81" i="4"/>
  <c r="G77" i="4"/>
  <c r="G76" i="4"/>
  <c r="G75" i="4"/>
  <c r="G74" i="4"/>
  <c r="G73" i="4"/>
  <c r="G72" i="4"/>
  <c r="G71" i="4"/>
  <c r="G70" i="4"/>
  <c r="G69" i="4"/>
  <c r="G68" i="4"/>
  <c r="G67" i="4"/>
  <c r="G66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4" i="4"/>
  <c r="G21" i="4"/>
  <c r="G18" i="4"/>
  <c r="G14" i="4"/>
  <c r="G13" i="4"/>
  <c r="G12" i="4"/>
  <c r="G11" i="4"/>
  <c r="G10" i="4"/>
  <c r="G9" i="4"/>
  <c r="G6" i="4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2" i="3"/>
  <c r="G61" i="3"/>
  <c r="G60" i="3"/>
  <c r="G56" i="3"/>
  <c r="G55" i="3"/>
  <c r="G54" i="3"/>
  <c r="G53" i="3"/>
  <c r="G52" i="3"/>
  <c r="G51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6" i="3"/>
  <c r="E12" i="2"/>
  <c r="E11" i="2"/>
  <c r="E10" i="2"/>
  <c r="E9" i="2"/>
  <c r="E8" i="2"/>
  <c r="E7" i="2"/>
  <c r="E6" i="2"/>
  <c r="E5" i="2"/>
  <c r="E4" i="2"/>
  <c r="E3" i="2"/>
  <c r="F10" i="1"/>
  <c r="F9" i="1"/>
  <c r="F8" i="1"/>
  <c r="F7" i="1"/>
  <c r="F6" i="1"/>
  <c r="F18" i="1"/>
  <c r="F17" i="1"/>
  <c r="F16" i="1"/>
  <c r="F15" i="1"/>
  <c r="F14" i="1"/>
  <c r="F25" i="1"/>
  <c r="F24" i="1"/>
  <c r="F23" i="1"/>
  <c r="F22" i="1"/>
  <c r="F21" i="1"/>
  <c r="F32" i="1"/>
  <c r="F31" i="1"/>
  <c r="F30" i="1"/>
  <c r="F29" i="1"/>
  <c r="F28" i="1"/>
  <c r="F38" i="1"/>
  <c r="F37" i="1"/>
  <c r="F36" i="1"/>
  <c r="F35" i="1"/>
  <c r="F45" i="1"/>
  <c r="F44" i="1"/>
  <c r="F43" i="1"/>
  <c r="F42" i="1"/>
  <c r="F41" i="1"/>
  <c r="F52" i="1"/>
  <c r="F51" i="1"/>
  <c r="F50" i="1"/>
  <c r="F49" i="1"/>
  <c r="F48" i="1"/>
  <c r="F60" i="1"/>
  <c r="F59" i="1"/>
  <c r="F58" i="1"/>
  <c r="F57" i="1"/>
  <c r="F56" i="1"/>
  <c r="F66" i="1"/>
  <c r="F65" i="1"/>
  <c r="F64" i="1"/>
  <c r="F63" i="1"/>
  <c r="F72" i="1"/>
  <c r="F71" i="1"/>
  <c r="F70" i="1"/>
  <c r="F69" i="1"/>
  <c r="F78" i="1"/>
  <c r="F77" i="1"/>
  <c r="F76" i="1"/>
  <c r="F75" i="1"/>
  <c r="F84" i="1"/>
  <c r="F83" i="1"/>
  <c r="F82" i="1"/>
  <c r="F81" i="1"/>
  <c r="F90" i="1"/>
  <c r="F89" i="1"/>
  <c r="F88" i="1"/>
  <c r="F87" i="1"/>
  <c r="F97" i="1"/>
  <c r="F96" i="1"/>
  <c r="F95" i="1"/>
  <c r="F94" i="1"/>
  <c r="F103" i="1"/>
  <c r="F102" i="1"/>
  <c r="F101" i="1"/>
  <c r="F100" i="1"/>
  <c r="F109" i="1"/>
  <c r="F108" i="1"/>
  <c r="F107" i="1"/>
  <c r="F106" i="1"/>
  <c r="F115" i="1"/>
  <c r="F114" i="1"/>
  <c r="F113" i="1"/>
  <c r="F112" i="1"/>
  <c r="F121" i="1"/>
  <c r="F120" i="1"/>
  <c r="F119" i="1"/>
  <c r="F118" i="1"/>
  <c r="F127" i="1"/>
  <c r="F126" i="1"/>
  <c r="F125" i="1"/>
  <c r="F124" i="1"/>
  <c r="F134" i="1"/>
  <c r="F133" i="1"/>
  <c r="F132" i="1"/>
  <c r="F131" i="1"/>
  <c r="F140" i="1"/>
  <c r="F139" i="1"/>
  <c r="F138" i="1"/>
  <c r="F137" i="1"/>
</calcChain>
</file>

<file path=xl/sharedStrings.xml><?xml version="1.0" encoding="utf-8"?>
<sst xmlns="http://schemas.openxmlformats.org/spreadsheetml/2006/main" count="7494" uniqueCount="3202">
  <si>
    <t>リリース</t>
    <phoneticPr fontId="4"/>
  </si>
  <si>
    <t>ID</t>
    <phoneticPr fontId="1"/>
  </si>
  <si>
    <t>所属</t>
    <rPh sb="0" eb="2">
      <t>ショゾク</t>
    </rPh>
    <phoneticPr fontId="1"/>
  </si>
  <si>
    <t>タイプ</t>
  </si>
  <si>
    <t>隊士名</t>
    <rPh sb="0" eb="2">
      <t>タイシ</t>
    </rPh>
    <rPh sb="2" eb="3">
      <t>メイ</t>
    </rPh>
    <phoneticPr fontId="1"/>
  </si>
  <si>
    <t>画像</t>
    <rPh sb="0" eb="2">
      <t>ガゾウ</t>
    </rPh>
    <phoneticPr fontId="4"/>
  </si>
  <si>
    <t>読み方</t>
    <rPh sb="0" eb="1">
      <t>ヨ</t>
    </rPh>
    <rPh sb="2" eb="3">
      <t>カタ</t>
    </rPh>
    <phoneticPr fontId="1"/>
  </si>
  <si>
    <t>コスト</t>
    <phoneticPr fontId="4"/>
  </si>
  <si>
    <t>MAX攻</t>
    <phoneticPr fontId="1"/>
  </si>
  <si>
    <t>MAX防</t>
    <phoneticPr fontId="1"/>
  </si>
  <si>
    <t>スキル名</t>
    <rPh sb="3" eb="4">
      <t>メイ</t>
    </rPh>
    <phoneticPr fontId="1"/>
  </si>
  <si>
    <t>スキル効果</t>
    <rPh sb="3" eb="5">
      <t>コウカ</t>
    </rPh>
    <phoneticPr fontId="4"/>
  </si>
  <si>
    <t>ガチャ現行分</t>
    <rPh sb="3" eb="5">
      <t>ゲンコウ</t>
    </rPh>
    <phoneticPr fontId="4"/>
  </si>
  <si>
    <t>2018/02防衛戦</t>
    <rPh sb="7" eb="10">
      <t>ボウエイセン</t>
    </rPh>
    <phoneticPr fontId="4"/>
  </si>
  <si>
    <t>近畿</t>
    <rPh sb="0" eb="2">
      <t>キンキ</t>
    </rPh>
    <phoneticPr fontId="4"/>
  </si>
  <si>
    <t>姫</t>
    <rPh sb="0" eb="1">
      <t>ヒメ</t>
    </rPh>
    <phoneticPr fontId="4"/>
  </si>
  <si>
    <t>藤原安子</t>
  </si>
  <si>
    <t>ふじわらのあんし</t>
    <phoneticPr fontId="4"/>
  </si>
  <si>
    <t>露も涙も土器と共に</t>
    <phoneticPr fontId="4"/>
  </si>
  <si>
    <t>2018/02龍神杯</t>
    <rPh sb="7" eb="9">
      <t>リュウジン</t>
    </rPh>
    <rPh sb="9" eb="10">
      <t>ハイ</t>
    </rPh>
    <phoneticPr fontId="4"/>
  </si>
  <si>
    <t>九州・沖縄</t>
    <rPh sb="0" eb="2">
      <t>キュウシュウ</t>
    </rPh>
    <rPh sb="3" eb="5">
      <t>オキナワ</t>
    </rPh>
    <phoneticPr fontId="4"/>
  </si>
  <si>
    <t>偉人</t>
    <rPh sb="0" eb="2">
      <t>イジン</t>
    </rPh>
    <phoneticPr fontId="4"/>
  </si>
  <si>
    <t>[新生]尚巴志王</t>
  </si>
  <si>
    <t>しんせいしょうはしおう</t>
    <phoneticPr fontId="4"/>
  </si>
  <si>
    <t>琉球王国の始祖</t>
    <phoneticPr fontId="4"/>
  </si>
  <si>
    <t>2018/02サイコロ</t>
    <phoneticPr fontId="4"/>
  </si>
  <si>
    <t>北海道・東北</t>
    <rPh sb="0" eb="3">
      <t>ホッカイドウ</t>
    </rPh>
    <rPh sb="4" eb="6">
      <t>トウホク</t>
    </rPh>
    <phoneticPr fontId="4"/>
  </si>
  <si>
    <t>飲食</t>
    <rPh sb="0" eb="2">
      <t>インショク</t>
    </rPh>
    <phoneticPr fontId="4"/>
  </si>
  <si>
    <t>【キューピッド】ハスカップティー</t>
  </si>
  <si>
    <t>きゅーぴっどはすかっぷてぃー</t>
    <phoneticPr fontId="4"/>
  </si>
  <si>
    <t>深碧の果実はどんな恋の味？</t>
    <phoneticPr fontId="4"/>
  </si>
  <si>
    <t>2018/02四神戦</t>
    <rPh sb="7" eb="8">
      <t>ヨン</t>
    </rPh>
    <rPh sb="8" eb="9">
      <t>シン</t>
    </rPh>
    <rPh sb="9" eb="10">
      <t>セン</t>
    </rPh>
    <phoneticPr fontId="4"/>
  </si>
  <si>
    <t>関東</t>
    <rPh sb="0" eb="2">
      <t>カントウ</t>
    </rPh>
    <phoneticPr fontId="4"/>
  </si>
  <si>
    <t>名物</t>
    <rPh sb="0" eb="2">
      <t>メイブツ</t>
    </rPh>
    <phoneticPr fontId="4"/>
  </si>
  <si>
    <t>【雪の王国】バラ</t>
  </si>
  <si>
    <t>ゆきのおうこくばら</t>
    <phoneticPr fontId="4"/>
  </si>
  <si>
    <t>凛と咲く騎士道精神</t>
    <phoneticPr fontId="4"/>
  </si>
  <si>
    <t>2019/12/15 12:00～2020/2/15 11:59</t>
    <phoneticPr fontId="4"/>
  </si>
  <si>
    <t>2018/01防衛戦</t>
    <rPh sb="7" eb="10">
      <t>ボウエイセン</t>
    </rPh>
    <phoneticPr fontId="4"/>
  </si>
  <si>
    <t>吉野ヶ里遺跡</t>
  </si>
  <si>
    <t>よしのがりいせき</t>
    <phoneticPr fontId="4"/>
  </si>
  <si>
    <t>眼下に広がる古のロマン</t>
    <phoneticPr fontId="4"/>
  </si>
  <si>
    <t>2018/01龍神杯</t>
    <rPh sb="7" eb="9">
      <t>リュウジン</t>
    </rPh>
    <rPh sb="9" eb="10">
      <t>ハイ</t>
    </rPh>
    <phoneticPr fontId="4"/>
  </si>
  <si>
    <t>伝承</t>
    <rPh sb="0" eb="2">
      <t>デンショウ</t>
    </rPh>
    <phoneticPr fontId="4"/>
  </si>
  <si>
    <t>才の神焼き</t>
  </si>
  <si>
    <t>さいのかみやき</t>
    <phoneticPr fontId="4"/>
  </si>
  <si>
    <t>天まで伸びる灼熱の炎渦</t>
    <phoneticPr fontId="4"/>
  </si>
  <si>
    <t>2018/01サイコロ</t>
    <phoneticPr fontId="4"/>
  </si>
  <si>
    <t>武人</t>
    <rPh sb="0" eb="2">
      <t>ブジン</t>
    </rPh>
    <phoneticPr fontId="4"/>
  </si>
  <si>
    <t>【ウィンタースポーツ】赤井輝子</t>
  </si>
  <si>
    <t>うぃんたーすぽーつあかいてるこ</t>
    <phoneticPr fontId="4"/>
  </si>
  <si>
    <t>雪原最強の女丈夫</t>
    <phoneticPr fontId="4"/>
  </si>
  <si>
    <t>2018/01四神戦</t>
    <rPh sb="7" eb="8">
      <t>ヨン</t>
    </rPh>
    <rPh sb="8" eb="9">
      <t>シン</t>
    </rPh>
    <rPh sb="9" eb="10">
      <t>セン</t>
    </rPh>
    <phoneticPr fontId="4"/>
  </si>
  <si>
    <t>妖怪</t>
    <rPh sb="0" eb="2">
      <t>ヨウカイ</t>
    </rPh>
    <phoneticPr fontId="4"/>
  </si>
  <si>
    <t>しばすべり</t>
  </si>
  <si>
    <t>しばすべり</t>
    <phoneticPr fontId="4"/>
  </si>
  <si>
    <t>種を超えし新しき絆</t>
    <phoneticPr fontId="4"/>
  </si>
  <si>
    <t>2019/10/15 12:00～2019/12/15 11:59</t>
    <phoneticPr fontId="4"/>
  </si>
  <si>
    <t>2017/12防衛戦</t>
    <rPh sb="7" eb="10">
      <t>ボウエイセン</t>
    </rPh>
    <phoneticPr fontId="4"/>
  </si>
  <si>
    <t>雪鬼</t>
  </si>
  <si>
    <t>ゆきおに</t>
    <phoneticPr fontId="4"/>
  </si>
  <si>
    <t>理を破りし者へ落とす制裁</t>
    <phoneticPr fontId="4"/>
  </si>
  <si>
    <t>2017/12龍神杯</t>
    <rPh sb="7" eb="9">
      <t>リュウジン</t>
    </rPh>
    <rPh sb="9" eb="10">
      <t>ハイ</t>
    </rPh>
    <phoneticPr fontId="4"/>
  </si>
  <si>
    <t>神秘</t>
    <phoneticPr fontId="4"/>
  </si>
  <si>
    <t>イシコリドメ</t>
  </si>
  <si>
    <t>いしこりどめ</t>
    <phoneticPr fontId="4"/>
  </si>
  <si>
    <t>万事を映す神鏡を抱えて</t>
    <phoneticPr fontId="4"/>
  </si>
  <si>
    <t>2017/12サイコロ</t>
    <phoneticPr fontId="4"/>
  </si>
  <si>
    <t>姫</t>
    <phoneticPr fontId="4"/>
  </si>
  <si>
    <t>【酒乱忘年会】日野富子</t>
  </si>
  <si>
    <t>しゅらんぼうねんかいひのとみこ</t>
    <phoneticPr fontId="4"/>
  </si>
  <si>
    <t>決起集う酒宴に沸く女史</t>
    <phoneticPr fontId="4"/>
  </si>
  <si>
    <t>2017/12全国巡り</t>
    <rPh sb="7" eb="9">
      <t>ゼンコク</t>
    </rPh>
    <rPh sb="9" eb="10">
      <t>メグ</t>
    </rPh>
    <phoneticPr fontId="4"/>
  </si>
  <si>
    <t>馬込マリア</t>
  </si>
  <si>
    <t>まごめまりあ</t>
    <phoneticPr fontId="4"/>
  </si>
  <si>
    <t>大海を越えて結ばれし愛</t>
    <phoneticPr fontId="4"/>
  </si>
  <si>
    <t>ガチャ終了分</t>
    <rPh sb="3" eb="5">
      <t>シュウリョウ</t>
    </rPh>
    <rPh sb="5" eb="6">
      <t>ブン</t>
    </rPh>
    <phoneticPr fontId="1"/>
  </si>
  <si>
    <t>2019/08/15 12:00～2019/10/15 11:59</t>
    <phoneticPr fontId="4"/>
  </si>
  <si>
    <t>2017/11防衛戦</t>
    <rPh sb="7" eb="10">
      <t>ボウエイセン</t>
    </rPh>
    <phoneticPr fontId="4"/>
  </si>
  <si>
    <t>知性派</t>
    <phoneticPr fontId="4"/>
  </si>
  <si>
    <t>榎本住</t>
  </si>
  <si>
    <t>えのもとすみ</t>
    <phoneticPr fontId="4"/>
  </si>
  <si>
    <t>妙訣、神の如し</t>
    <phoneticPr fontId="4"/>
  </si>
  <si>
    <t>2017/11龍神杯</t>
    <rPh sb="7" eb="9">
      <t>リュウジン</t>
    </rPh>
    <rPh sb="9" eb="10">
      <t>ハイ</t>
    </rPh>
    <phoneticPr fontId="4"/>
  </si>
  <si>
    <t>名物</t>
    <phoneticPr fontId="4"/>
  </si>
  <si>
    <t>ホッキョクグマ</t>
  </si>
  <si>
    <t>ほっきょくぐま</t>
    <phoneticPr fontId="4"/>
  </si>
  <si>
    <t>氷と共に生きる白獣</t>
    <phoneticPr fontId="4"/>
  </si>
  <si>
    <t>2017/11サイコロ</t>
    <phoneticPr fontId="4"/>
  </si>
  <si>
    <t>偉人</t>
    <phoneticPr fontId="4"/>
  </si>
  <si>
    <t>【酔心地】樋口一葉</t>
  </si>
  <si>
    <t>よいごこちひぐちいちよう</t>
    <phoneticPr fontId="4"/>
  </si>
  <si>
    <t>芳醇な香りを忍ばせる筆</t>
    <phoneticPr fontId="4"/>
  </si>
  <si>
    <t>2017/11天下統一戦</t>
    <rPh sb="7" eb="9">
      <t>テンカ</t>
    </rPh>
    <rPh sb="9" eb="11">
      <t>トウイツ</t>
    </rPh>
    <rPh sb="11" eb="12">
      <t>セン</t>
    </rPh>
    <phoneticPr fontId="4"/>
  </si>
  <si>
    <t>中国・四国</t>
    <rPh sb="0" eb="2">
      <t>チュウゴク</t>
    </rPh>
    <rPh sb="3" eb="5">
      <t>シコク</t>
    </rPh>
    <phoneticPr fontId="4"/>
  </si>
  <si>
    <t>優曇華</t>
  </si>
  <si>
    <t>うどんげ</t>
    <phoneticPr fontId="4"/>
  </si>
  <si>
    <t>３０００年に一度の奇跡</t>
    <phoneticPr fontId="4"/>
  </si>
  <si>
    <t>2019/06/15 12:00～2019/08/15 11:59</t>
    <phoneticPr fontId="4"/>
  </si>
  <si>
    <t>2017/10防衛戦</t>
    <rPh sb="7" eb="10">
      <t>ボウエイセン</t>
    </rPh>
    <phoneticPr fontId="4"/>
  </si>
  <si>
    <t>中国・四国</t>
    <phoneticPr fontId="4"/>
  </si>
  <si>
    <t>武人</t>
    <phoneticPr fontId="4"/>
  </si>
  <si>
    <t>【築山神社】大内義隆</t>
  </si>
  <si>
    <t>つきやまじんじゃおおうちよしたか</t>
    <phoneticPr fontId="4"/>
  </si>
  <si>
    <t>経済と文化の発展を支えた威光</t>
    <phoneticPr fontId="4"/>
  </si>
  <si>
    <t>2017/10龍神杯</t>
    <rPh sb="7" eb="9">
      <t>リュウジン</t>
    </rPh>
    <rPh sb="9" eb="10">
      <t>ハイ</t>
    </rPh>
    <phoneticPr fontId="4"/>
  </si>
  <si>
    <t>関東</t>
    <phoneticPr fontId="4"/>
  </si>
  <si>
    <t>飲食</t>
    <phoneticPr fontId="4"/>
  </si>
  <si>
    <t>印籠弁当ちゃん</t>
  </si>
  <si>
    <t>いんろうべんとうちゃん</t>
    <phoneticPr fontId="4"/>
  </si>
  <si>
    <t>この重箱が目に入らぬかっ！</t>
    <phoneticPr fontId="4"/>
  </si>
  <si>
    <t>2017/10サイコロ</t>
    <phoneticPr fontId="4"/>
  </si>
  <si>
    <t>中部</t>
    <phoneticPr fontId="4"/>
  </si>
  <si>
    <t>【将棋】寿桂尼</t>
  </si>
  <si>
    <t>しょうぎじゅけいに</t>
    <phoneticPr fontId="4"/>
  </si>
  <si>
    <t>采配を手に鼓舞する力</t>
    <phoneticPr fontId="4"/>
  </si>
  <si>
    <t>2017/10全国巡り</t>
    <rPh sb="7" eb="9">
      <t>ゼンコク</t>
    </rPh>
    <rPh sb="9" eb="10">
      <t>メグ</t>
    </rPh>
    <phoneticPr fontId="4"/>
  </si>
  <si>
    <t>近畿</t>
    <phoneticPr fontId="4"/>
  </si>
  <si>
    <t>古田織部</t>
  </si>
  <si>
    <t>ふるたおりべ</t>
    <phoneticPr fontId="4"/>
  </si>
  <si>
    <t>前衛精神から成り立つ一椀</t>
    <phoneticPr fontId="4"/>
  </si>
  <si>
    <t>2019/04/15 12:00～2019/06/15 11:59</t>
    <phoneticPr fontId="4"/>
  </si>
  <si>
    <t>2017/09防衛戦</t>
    <rPh sb="7" eb="10">
      <t>ボウエイセン</t>
    </rPh>
    <phoneticPr fontId="4"/>
  </si>
  <si>
    <t>九州・沖縄</t>
    <phoneticPr fontId="4"/>
  </si>
  <si>
    <t>ヒヌカン</t>
  </si>
  <si>
    <t>ひぬかん</t>
    <phoneticPr fontId="4"/>
  </si>
  <si>
    <t>悪言、口にすべからず</t>
    <phoneticPr fontId="4"/>
  </si>
  <si>
    <t>2017/09龍神杯</t>
    <rPh sb="7" eb="9">
      <t>リュウジン</t>
    </rPh>
    <rPh sb="9" eb="10">
      <t>ハイ</t>
    </rPh>
    <phoneticPr fontId="4"/>
  </si>
  <si>
    <t>【ねこみみ】日野富子</t>
  </si>
  <si>
    <t>ねこみみひのとみこ</t>
    <phoneticPr fontId="4"/>
  </si>
  <si>
    <t>気丈なツンデレっ子</t>
    <phoneticPr fontId="4"/>
  </si>
  <si>
    <t>2017/09サイコロ</t>
    <phoneticPr fontId="4"/>
  </si>
  <si>
    <t>伝承</t>
    <phoneticPr fontId="4"/>
  </si>
  <si>
    <t>【アラビアン】ベーゴマ</t>
  </si>
  <si>
    <t>あらびあんべーごま</t>
    <phoneticPr fontId="4"/>
  </si>
  <si>
    <t>譲れない勝機</t>
    <phoneticPr fontId="4"/>
  </si>
  <si>
    <t>2017/09全国巡り</t>
    <rPh sb="7" eb="9">
      <t>ゼンコク</t>
    </rPh>
    <rPh sb="9" eb="10">
      <t>メグ</t>
    </rPh>
    <phoneticPr fontId="4"/>
  </si>
  <si>
    <t>加藤道夫</t>
  </si>
  <si>
    <t>かとうみちお</t>
    <phoneticPr fontId="4"/>
  </si>
  <si>
    <t>喝采やまぬ舞台の上で</t>
    <phoneticPr fontId="4"/>
  </si>
  <si>
    <t>タイプ神秘・飲食の攻30％UP</t>
    <phoneticPr fontId="4"/>
  </si>
  <si>
    <t>2019/02/15 12:00～2019/04/15 11:59</t>
    <phoneticPr fontId="4"/>
  </si>
  <si>
    <t>2017/08防衛戦</t>
    <rPh sb="7" eb="10">
      <t>ボウエイセン</t>
    </rPh>
    <phoneticPr fontId="4"/>
  </si>
  <si>
    <t>大河内正敏</t>
  </si>
  <si>
    <t>おおこうちまさとし</t>
    <phoneticPr fontId="4"/>
  </si>
  <si>
    <t>科学と工業を融合せし名所長</t>
    <phoneticPr fontId="4"/>
  </si>
  <si>
    <t>タイプ妖怪・名物の攻30％UP　/　タイプ【偉人】の攻20％UP</t>
  </si>
  <si>
    <t>2017/08龍神杯</t>
    <rPh sb="7" eb="9">
      <t>リュウジン</t>
    </rPh>
    <rPh sb="9" eb="10">
      <t>ハイ</t>
    </rPh>
    <phoneticPr fontId="4"/>
  </si>
  <si>
    <t>立山</t>
  </si>
  <si>
    <t>たてやま</t>
    <phoneticPr fontId="4"/>
  </si>
  <si>
    <t>古代より眠りし氷河</t>
    <phoneticPr fontId="4"/>
  </si>
  <si>
    <t>タイプ知性派・飲食の防30％UP　/　タイプ【神秘】の防20％UP</t>
  </si>
  <si>
    <t>2017/08サイコロ</t>
    <phoneticPr fontId="4"/>
  </si>
  <si>
    <t>【肝試しホラー】クマノミちゃん</t>
  </si>
  <si>
    <t>きもだめしほらーくまのみちゃん</t>
    <phoneticPr fontId="4"/>
  </si>
  <si>
    <t>廊下に現れるカラフルフィッシュ</t>
    <phoneticPr fontId="4"/>
  </si>
  <si>
    <t>タイプ偉人・妖怪の攻30％UP　/　タイプ【名物】の攻20％UP</t>
  </si>
  <si>
    <t>2017/08天下統一戦</t>
    <rPh sb="7" eb="9">
      <t>テンカ</t>
    </rPh>
    <rPh sb="9" eb="11">
      <t>トウイツ</t>
    </rPh>
    <rPh sb="11" eb="12">
      <t>セン</t>
    </rPh>
    <phoneticPr fontId="4"/>
  </si>
  <si>
    <t>北海道・東北</t>
    <phoneticPr fontId="4"/>
  </si>
  <si>
    <t>セアカゴケグモ</t>
  </si>
  <si>
    <t>せあかごけぐも</t>
    <phoneticPr fontId="4"/>
  </si>
  <si>
    <t>白糸に誘われし猛毒フェロモン</t>
    <phoneticPr fontId="4"/>
  </si>
  <si>
    <t>タイプ【妖怪】の防50％UP　/　タイプ偉人・名物の防15％UP</t>
  </si>
  <si>
    <t>2018/12/15 12:00～2019/02/15 11:59</t>
    <phoneticPr fontId="4"/>
  </si>
  <si>
    <t>2017/07防衛戦</t>
    <rPh sb="7" eb="10">
      <t>ボウエイセン</t>
    </rPh>
    <phoneticPr fontId="4"/>
  </si>
  <si>
    <t>インディアンカレー</t>
    <phoneticPr fontId="4"/>
  </si>
  <si>
    <t>いんでぃあんかれー</t>
    <phoneticPr fontId="4"/>
  </si>
  <si>
    <t>爆ぜるホットな香辛料</t>
    <phoneticPr fontId="4"/>
  </si>
  <si>
    <t>タイプ神秘・知性派の防30％UP　/　タイプ【飲食】の防20％UP</t>
  </si>
  <si>
    <t>2017/07龍神杯</t>
    <rPh sb="7" eb="9">
      <t>リュウジン</t>
    </rPh>
    <rPh sb="9" eb="10">
      <t>ハイ</t>
    </rPh>
    <phoneticPr fontId="4"/>
  </si>
  <si>
    <t>水破兵破</t>
    <phoneticPr fontId="4"/>
  </si>
  <si>
    <t>すいはひょうは</t>
    <phoneticPr fontId="4"/>
  </si>
  <si>
    <t>黒雲に鳴く二筋の鏑矢</t>
    <phoneticPr fontId="4"/>
  </si>
  <si>
    <t>タイプ武人・姫の攻35％UP　/　タイプ【伝承】の攻10％UP</t>
  </si>
  <si>
    <t>2017/07サイコロ</t>
    <phoneticPr fontId="4"/>
  </si>
  <si>
    <t>【マーチングバンド】金子みすず</t>
    <phoneticPr fontId="4"/>
  </si>
  <si>
    <t>まーちんぐばんどかねこみすず</t>
    <phoneticPr fontId="4"/>
  </si>
  <si>
    <t>暖かくも芯のある武漢の音色</t>
    <phoneticPr fontId="4"/>
  </si>
  <si>
    <t>2017/07全国巡り</t>
    <rPh sb="7" eb="9">
      <t>ゼンコク</t>
    </rPh>
    <rPh sb="9" eb="10">
      <t>メグ</t>
    </rPh>
    <phoneticPr fontId="4"/>
  </si>
  <si>
    <t>【帝釈栗毛】加藤清正</t>
    <phoneticPr fontId="4"/>
  </si>
  <si>
    <t>たいしゃくくりげかとうきよまさ</t>
    <phoneticPr fontId="4"/>
  </si>
  <si>
    <t>荒ぶる武勇の神</t>
    <phoneticPr fontId="4"/>
  </si>
  <si>
    <t>2018/10/15 12:00～2018/12/15 11:59</t>
    <phoneticPr fontId="4"/>
  </si>
  <si>
    <t>2017/06防衛戦</t>
    <rPh sb="7" eb="10">
      <t>ボウエイセン</t>
    </rPh>
    <phoneticPr fontId="4"/>
  </si>
  <si>
    <t>伊也姫</t>
    <phoneticPr fontId="4"/>
  </si>
  <si>
    <t>いやひめ</t>
    <phoneticPr fontId="4"/>
  </si>
  <si>
    <t>しのぶにぬるる哀しき袖</t>
    <phoneticPr fontId="4"/>
  </si>
  <si>
    <t>2017/06龍神杯</t>
    <rPh sb="7" eb="9">
      <t>リュウジン</t>
    </rPh>
    <rPh sb="9" eb="10">
      <t>ハイ</t>
    </rPh>
    <phoneticPr fontId="4"/>
  </si>
  <si>
    <t>橋本忠太郎</t>
    <phoneticPr fontId="4"/>
  </si>
  <si>
    <t>はしもとちゅうたろう</t>
    <phoneticPr fontId="4"/>
  </si>
  <si>
    <t>故郷の草花への想い</t>
    <phoneticPr fontId="4"/>
  </si>
  <si>
    <t>2017/06サイコロ</t>
    <phoneticPr fontId="4"/>
  </si>
  <si>
    <t>【月影】ナタデココ</t>
    <phoneticPr fontId="4"/>
  </si>
  <si>
    <t>つきかげなたでここ</t>
    <phoneticPr fontId="4"/>
  </si>
  <si>
    <t>秘術・ナタデココ乱舞</t>
    <phoneticPr fontId="4"/>
  </si>
  <si>
    <t>2017/06全国巡り</t>
    <rPh sb="7" eb="9">
      <t>ゼンコク</t>
    </rPh>
    <rPh sb="9" eb="10">
      <t>メグ</t>
    </rPh>
    <phoneticPr fontId="4"/>
  </si>
  <si>
    <t>妖怪</t>
    <phoneticPr fontId="4"/>
  </si>
  <si>
    <t>【叢雨】雨おんば</t>
    <phoneticPr fontId="4"/>
  </si>
  <si>
    <t>むらさめあめおんば</t>
    <phoneticPr fontId="4"/>
  </si>
  <si>
    <t>雨降る夜の救いの手</t>
    <phoneticPr fontId="4"/>
  </si>
  <si>
    <t>2018/08/15 12:00～2018/10/15 11:59</t>
    <phoneticPr fontId="4"/>
  </si>
  <si>
    <t>2017/05防衛戦</t>
    <rPh sb="7" eb="10">
      <t>ボウエイセン</t>
    </rPh>
    <phoneticPr fontId="4"/>
  </si>
  <si>
    <t>関東</t>
  </si>
  <si>
    <t>知性派</t>
    <rPh sb="0" eb="2">
      <t>チセイ</t>
    </rPh>
    <rPh sb="2" eb="3">
      <t>ハ</t>
    </rPh>
    <phoneticPr fontId="1"/>
  </si>
  <si>
    <t>吉岡彌生</t>
  </si>
  <si>
    <t>よしおかやよい</t>
  </si>
  <si>
    <t>女子医科教育の立役者</t>
  </si>
  <si>
    <t>タイプ神秘・飲食の攻30％UP　/　タイプ【知性派】の攻20％UP</t>
  </si>
  <si>
    <t>2017/05龍神杯</t>
    <rPh sb="7" eb="9">
      <t>リュウジン</t>
    </rPh>
    <rPh sb="9" eb="10">
      <t>ハイ</t>
    </rPh>
    <phoneticPr fontId="4"/>
  </si>
  <si>
    <t>偉人</t>
    <rPh sb="0" eb="2">
      <t>イジン</t>
    </rPh>
    <phoneticPr fontId="1"/>
  </si>
  <si>
    <t>【創始者】井口阿くり</t>
  </si>
  <si>
    <t>そうししゃいのくちあくり</t>
  </si>
  <si>
    <t>北欧より来たりし心身教育</t>
  </si>
  <si>
    <t>タイプ妖怪・名物の防35％UP　/　タイプ【偉人】の防10％UP</t>
  </si>
  <si>
    <t>2017/05サイコロ</t>
    <phoneticPr fontId="4"/>
  </si>
  <si>
    <t>近畿</t>
  </si>
  <si>
    <t>名物</t>
  </si>
  <si>
    <t>【ピクニック】サツキ</t>
  </si>
  <si>
    <t>ぴくにっくさつき</t>
  </si>
  <si>
    <t>会話に花を咲かせる貞淑</t>
  </si>
  <si>
    <t>2017/05天下統一戦</t>
    <rPh sb="7" eb="9">
      <t>テンカ</t>
    </rPh>
    <rPh sb="9" eb="11">
      <t>トウイツ</t>
    </rPh>
    <rPh sb="11" eb="12">
      <t>セン</t>
    </rPh>
    <phoneticPr fontId="4"/>
  </si>
  <si>
    <t>妖怪</t>
  </si>
  <si>
    <t>【五月病】化猫遊女</t>
  </si>
  <si>
    <t>ごがつびょうばけねこゆうじょ</t>
  </si>
  <si>
    <t>寝子はお菓子で育つ</t>
  </si>
  <si>
    <t>タイプ偉人・名物の攻30％UP　/　タイプ【妖怪】の攻20％UP</t>
  </si>
  <si>
    <t>2018/06/15 12:00～2018/8/15 11:59</t>
    <phoneticPr fontId="4"/>
  </si>
  <si>
    <t>2017/04防衛戦</t>
    <rPh sb="7" eb="10">
      <t>ボウエイセン</t>
    </rPh>
    <phoneticPr fontId="4"/>
  </si>
  <si>
    <t>関東</t>
    <rPh sb="0" eb="2">
      <t>カントウ</t>
    </rPh>
    <phoneticPr fontId="1"/>
  </si>
  <si>
    <t>名物</t>
    <rPh sb="0" eb="2">
      <t>メイブツ</t>
    </rPh>
    <phoneticPr fontId="1"/>
  </si>
  <si>
    <t>カゲロウ</t>
  </si>
  <si>
    <t>かげろう</t>
  </si>
  <si>
    <t>水辺に揺らめく陽炎のように</t>
    <rPh sb="0" eb="2">
      <t>ミズベ</t>
    </rPh>
    <rPh sb="3" eb="4">
      <t>ユ</t>
    </rPh>
    <rPh sb="7" eb="9">
      <t>カゲロウ</t>
    </rPh>
    <phoneticPr fontId="1"/>
  </si>
  <si>
    <t>2017/04龍神杯</t>
    <rPh sb="7" eb="9">
      <t>リュウジン</t>
    </rPh>
    <rPh sb="9" eb="10">
      <t>ハイ</t>
    </rPh>
    <phoneticPr fontId="4"/>
  </si>
  <si>
    <t>近畿</t>
    <rPh sb="0" eb="2">
      <t>キンキ</t>
    </rPh>
    <phoneticPr fontId="1"/>
  </si>
  <si>
    <t>武人</t>
    <rPh sb="0" eb="2">
      <t>ブジン</t>
    </rPh>
    <phoneticPr fontId="1"/>
  </si>
  <si>
    <t>平宗盛</t>
    <rPh sb="0" eb="1">
      <t>タイラ</t>
    </rPh>
    <rPh sb="1" eb="3">
      <t>ムネモリ</t>
    </rPh>
    <phoneticPr fontId="1"/>
  </si>
  <si>
    <t>たいらのむねもり</t>
  </si>
  <si>
    <t>情愛深き敗軍の将</t>
  </si>
  <si>
    <t>タイプ姫・伝承の防35％UP　/　タイプ【武人】の防10％UP</t>
  </si>
  <si>
    <t>2017/04サイコロ</t>
    <phoneticPr fontId="4"/>
  </si>
  <si>
    <t>中国・四国</t>
  </si>
  <si>
    <t>伝承</t>
    <rPh sb="0" eb="2">
      <t>デンショウ</t>
    </rPh>
    <phoneticPr fontId="1"/>
  </si>
  <si>
    <t>【スクールガール】矢上姫</t>
    <rPh sb="9" eb="11">
      <t>ヤガミ</t>
    </rPh>
    <rPh sb="11" eb="12">
      <t>ヒメ</t>
    </rPh>
    <phoneticPr fontId="1"/>
  </si>
  <si>
    <t>すくーるがーるやがみひめ</t>
  </si>
  <si>
    <t>豪華絢爛スクールガール</t>
  </si>
  <si>
    <t>タイプ武人・姫の攻30％UP　/　タイプ【伝承】の攻20％UP</t>
  </si>
  <si>
    <t>2017/04全国巡り</t>
    <rPh sb="7" eb="9">
      <t>ゼンコク</t>
    </rPh>
    <rPh sb="9" eb="10">
      <t>メグ</t>
    </rPh>
    <phoneticPr fontId="4"/>
  </si>
  <si>
    <t>飲食</t>
    <rPh sb="0" eb="2">
      <t>インショク</t>
    </rPh>
    <phoneticPr fontId="1"/>
  </si>
  <si>
    <t>おいりパフェちゃん</t>
  </si>
  <si>
    <t>おいりぱふぇちゃん</t>
  </si>
  <si>
    <t>儚く蕩ける幸せの味</t>
  </si>
  <si>
    <t>タイプ神秘・知性派の攻30％UP　/　タイプ【飲食】の攻20％UP</t>
  </si>
  <si>
    <t>2018/04/15 12:00～2018/06/15 11:59</t>
    <phoneticPr fontId="4"/>
  </si>
  <si>
    <t>2017/03防衛戦</t>
    <rPh sb="7" eb="10">
      <t>ボウエイセン</t>
    </rPh>
    <phoneticPr fontId="4"/>
  </si>
  <si>
    <t>下鴨神社の流し雛</t>
    <rPh sb="0" eb="2">
      <t>シモガモ</t>
    </rPh>
    <rPh sb="2" eb="4">
      <t>ジンジャ</t>
    </rPh>
    <rPh sb="5" eb="6">
      <t>ナガ</t>
    </rPh>
    <rPh sb="7" eb="8">
      <t>ビナ</t>
    </rPh>
    <phoneticPr fontId="1"/>
  </si>
  <si>
    <t>しもがもじんじゃのながしびな</t>
  </si>
  <si>
    <t>穢れを水に移して</t>
    <rPh sb="0" eb="1">
      <t>ケガ</t>
    </rPh>
    <rPh sb="3" eb="4">
      <t>ミズ</t>
    </rPh>
    <rPh sb="5" eb="6">
      <t>ウツ</t>
    </rPh>
    <phoneticPr fontId="1"/>
  </si>
  <si>
    <t>タイプ武人・姫の防30％UP　/　タイプ【伝承】の防20％UP</t>
  </si>
  <si>
    <t>2017/03龍神杯</t>
    <rPh sb="7" eb="9">
      <t>リュウジン</t>
    </rPh>
    <rPh sb="9" eb="10">
      <t>ハイ</t>
    </rPh>
    <phoneticPr fontId="4"/>
  </si>
  <si>
    <t>中部</t>
    <rPh sb="0" eb="2">
      <t>チュウブ</t>
    </rPh>
    <phoneticPr fontId="1"/>
  </si>
  <si>
    <t>レンゲハニーちゃん</t>
  </si>
  <si>
    <t>れんげはにーちゃん</t>
  </si>
  <si>
    <t>花から花へ届ける甘い蜜</t>
    <rPh sb="0" eb="1">
      <t>ハナ</t>
    </rPh>
    <rPh sb="3" eb="4">
      <t>ハナ</t>
    </rPh>
    <rPh sb="5" eb="6">
      <t>トド</t>
    </rPh>
    <rPh sb="8" eb="9">
      <t>アマ</t>
    </rPh>
    <rPh sb="10" eb="11">
      <t>ミツ</t>
    </rPh>
    <phoneticPr fontId="1"/>
  </si>
  <si>
    <t>タイプ神秘の防50％UP　/　タイプ【飲食】の防25％UP</t>
  </si>
  <si>
    <t>2017/03サイコロ</t>
    <phoneticPr fontId="4"/>
  </si>
  <si>
    <t>北海道・東北</t>
  </si>
  <si>
    <t>神秘</t>
  </si>
  <si>
    <t>【ハンター】尊久老稲荷</t>
    <rPh sb="6" eb="7">
      <t>ソン</t>
    </rPh>
    <rPh sb="7" eb="8">
      <t>ヒサ</t>
    </rPh>
    <rPh sb="8" eb="9">
      <t>ロウ</t>
    </rPh>
    <rPh sb="9" eb="11">
      <t>イナリ</t>
    </rPh>
    <phoneticPr fontId="1"/>
  </si>
  <si>
    <t>はんたーそうくろいなり</t>
  </si>
  <si>
    <t>漆黒が番える閃光の矢</t>
    <rPh sb="0" eb="2">
      <t>シッコク</t>
    </rPh>
    <rPh sb="3" eb="4">
      <t>バン</t>
    </rPh>
    <rPh sb="6" eb="8">
      <t>センコウ</t>
    </rPh>
    <rPh sb="9" eb="10">
      <t>ヤ</t>
    </rPh>
    <phoneticPr fontId="1"/>
  </si>
  <si>
    <t>2017/03全国巡り</t>
    <phoneticPr fontId="4"/>
  </si>
  <si>
    <t>偉人</t>
  </si>
  <si>
    <t>アレッサンドロ・ヴァリニャーノ</t>
  </si>
  <si>
    <t>あれっさんどろゔぁりにゃーの</t>
  </si>
  <si>
    <t>提言せし適応主義</t>
    <rPh sb="0" eb="2">
      <t>テイゲン</t>
    </rPh>
    <rPh sb="4" eb="6">
      <t>テキオウ</t>
    </rPh>
    <rPh sb="6" eb="8">
      <t>シュギ</t>
    </rPh>
    <phoneticPr fontId="1"/>
  </si>
  <si>
    <t>タイプ名物・妖怪の攻30％UP　/　タイプ【偉人】の攻20％UP</t>
  </si>
  <si>
    <t>2018/02/15 12:00～2018/04/15 11:59</t>
    <phoneticPr fontId="4"/>
  </si>
  <si>
    <t>2017/02防衛戦</t>
    <rPh sb="7" eb="10">
      <t>ボウエイセン</t>
    </rPh>
    <phoneticPr fontId="4"/>
  </si>
  <si>
    <t>中部</t>
  </si>
  <si>
    <t>四十八曲峠の狐火</t>
    <rPh sb="0" eb="3">
      <t>シジュウハチ</t>
    </rPh>
    <rPh sb="3" eb="4">
      <t>マガリ</t>
    </rPh>
    <rPh sb="4" eb="5">
      <t>トウゲ</t>
    </rPh>
    <rPh sb="6" eb="7">
      <t>キツネ</t>
    </rPh>
    <rPh sb="7" eb="8">
      <t>ビ</t>
    </rPh>
    <phoneticPr fontId="1"/>
  </si>
  <si>
    <t>しじゅうはちまがりとうげのきつねび</t>
  </si>
  <si>
    <t>闇に浮かぶ狐火</t>
    <rPh sb="0" eb="1">
      <t>ヤミ</t>
    </rPh>
    <rPh sb="2" eb="3">
      <t>ウ</t>
    </rPh>
    <rPh sb="5" eb="6">
      <t>キツネ</t>
    </rPh>
    <rPh sb="6" eb="7">
      <t>ビ</t>
    </rPh>
    <phoneticPr fontId="1"/>
  </si>
  <si>
    <t>タイプ知性派・飲食の攻30％UP　/　タイプ【神秘】の攻20％UP</t>
    <rPh sb="10" eb="11">
      <t>コウ</t>
    </rPh>
    <rPh sb="27" eb="28">
      <t>コウ</t>
    </rPh>
    <phoneticPr fontId="1"/>
  </si>
  <si>
    <t>2017/02龍神杯</t>
    <rPh sb="7" eb="9">
      <t>リュウジン</t>
    </rPh>
    <rPh sb="9" eb="10">
      <t>ハイ</t>
    </rPh>
    <phoneticPr fontId="4"/>
  </si>
  <si>
    <t>桃太郎像</t>
    <rPh sb="0" eb="3">
      <t>モモタロウ</t>
    </rPh>
    <rPh sb="3" eb="4">
      <t>ゾウ</t>
    </rPh>
    <phoneticPr fontId="1"/>
  </si>
  <si>
    <t>ももたろうぞう</t>
  </si>
  <si>
    <t>鬼を見据えし桃の花</t>
    <rPh sb="0" eb="1">
      <t>オニ</t>
    </rPh>
    <rPh sb="2" eb="4">
      <t>ミス</t>
    </rPh>
    <rPh sb="6" eb="7">
      <t>モモ</t>
    </rPh>
    <rPh sb="8" eb="9">
      <t>ハナ</t>
    </rPh>
    <phoneticPr fontId="1"/>
  </si>
  <si>
    <t>タイプ偉人・妖怪の攻30％UP　/　タイプ【名物】の攻20％UP</t>
    <rPh sb="26" eb="27">
      <t>コウ</t>
    </rPh>
    <phoneticPr fontId="1"/>
  </si>
  <si>
    <t>2017/02サイコロ</t>
    <phoneticPr fontId="4"/>
  </si>
  <si>
    <t>【大人の遊び】前島密</t>
    <rPh sb="1" eb="3">
      <t>オトナ</t>
    </rPh>
    <rPh sb="4" eb="5">
      <t>アソ</t>
    </rPh>
    <rPh sb="7" eb="9">
      <t>マエジマ</t>
    </rPh>
    <rPh sb="9" eb="10">
      <t>ヒソカ</t>
    </rPh>
    <phoneticPr fontId="1"/>
  </si>
  <si>
    <t>おとなのあそびまえじまひそか</t>
  </si>
  <si>
    <t>贅を極めし優雅なひと時</t>
    <rPh sb="0" eb="1">
      <t>ゼイ</t>
    </rPh>
    <rPh sb="2" eb="3">
      <t>キワ</t>
    </rPh>
    <rPh sb="5" eb="7">
      <t>ユウガ</t>
    </rPh>
    <rPh sb="10" eb="11">
      <t>トキ</t>
    </rPh>
    <phoneticPr fontId="1"/>
  </si>
  <si>
    <t>タイプ妖怪・名物の防30％UP　/　タイプ【偉人】の防20％UP</t>
    <rPh sb="9" eb="10">
      <t>ボウ</t>
    </rPh>
    <rPh sb="26" eb="27">
      <t>ボウ</t>
    </rPh>
    <phoneticPr fontId="1"/>
  </si>
  <si>
    <t>2017/02天下統一戦</t>
    <rPh sb="7" eb="9">
      <t>テンカ</t>
    </rPh>
    <rPh sb="9" eb="11">
      <t>トウイツ</t>
    </rPh>
    <rPh sb="11" eb="12">
      <t>セン</t>
    </rPh>
    <phoneticPr fontId="4"/>
  </si>
  <si>
    <t>武人</t>
  </si>
  <si>
    <t>山本五十六</t>
  </si>
  <si>
    <t>やまもといそろく</t>
  </si>
  <si>
    <t>蒼海に響く指揮の声</t>
    <rPh sb="0" eb="2">
      <t>ソウカイ</t>
    </rPh>
    <rPh sb="3" eb="4">
      <t>ヒビ</t>
    </rPh>
    <rPh sb="5" eb="7">
      <t>シキ</t>
    </rPh>
    <rPh sb="8" eb="9">
      <t>コエ</t>
    </rPh>
    <phoneticPr fontId="1"/>
  </si>
  <si>
    <t>タイプ姫・伝承の攻30％UP　/　タイプ【武人】の攻20％UP</t>
    <rPh sb="8" eb="9">
      <t>コウ</t>
    </rPh>
    <rPh sb="25" eb="26">
      <t>コウ</t>
    </rPh>
    <phoneticPr fontId="1"/>
  </si>
  <si>
    <t>2017/12/15 12:00～2018/02/15 11:59</t>
    <phoneticPr fontId="4"/>
  </si>
  <si>
    <t>2017/01防衛戦</t>
    <rPh sb="7" eb="10">
      <t>ボウエイセン</t>
    </rPh>
    <phoneticPr fontId="4"/>
  </si>
  <si>
    <t>妖怪</t>
    <rPh sb="0" eb="2">
      <t>ヨウカイ</t>
    </rPh>
    <phoneticPr fontId="1"/>
  </si>
  <si>
    <t>斑描喰</t>
    <rPh sb="0" eb="1">
      <t>ハン</t>
    </rPh>
    <rPh sb="1" eb="2">
      <t>ミョウ</t>
    </rPh>
    <rPh sb="2" eb="3">
      <t>クイ</t>
    </rPh>
    <phoneticPr fontId="1"/>
  </si>
  <si>
    <t>はんみょうくい</t>
  </si>
  <si>
    <t>水面に広がる毒羽</t>
    <rPh sb="0" eb="2">
      <t>ミナモ</t>
    </rPh>
    <rPh sb="3" eb="4">
      <t>ヒロ</t>
    </rPh>
    <rPh sb="6" eb="7">
      <t>ドク</t>
    </rPh>
    <rPh sb="7" eb="8">
      <t>バネ</t>
    </rPh>
    <phoneticPr fontId="1"/>
  </si>
  <si>
    <t>タイプ偉人・名物の防30％UP　/　タイプ【妖怪】の防20％UP</t>
    <rPh sb="9" eb="10">
      <t>ボウ</t>
    </rPh>
    <rPh sb="26" eb="27">
      <t>ボウ</t>
    </rPh>
    <phoneticPr fontId="1"/>
  </si>
  <si>
    <t>2017/01龍神杯一部</t>
    <phoneticPr fontId="4"/>
  </si>
  <si>
    <t>姫</t>
    <rPh sb="0" eb="1">
      <t>ヒメ</t>
    </rPh>
    <phoneticPr fontId="1"/>
  </si>
  <si>
    <t>【姫甲冑】慈光院</t>
    <rPh sb="1" eb="2">
      <t>ヒメ</t>
    </rPh>
    <rPh sb="2" eb="4">
      <t>カッチュウ</t>
    </rPh>
    <rPh sb="5" eb="8">
      <t>ジコウイン</t>
    </rPh>
    <phoneticPr fontId="1"/>
  </si>
  <si>
    <t>ひめかっちゅうじこういん</t>
  </si>
  <si>
    <t>狸と共に踊りし舞姫</t>
    <rPh sb="0" eb="1">
      <t>タヌキ</t>
    </rPh>
    <rPh sb="2" eb="3">
      <t>トモ</t>
    </rPh>
    <rPh sb="4" eb="5">
      <t>オド</t>
    </rPh>
    <rPh sb="7" eb="9">
      <t>マイヒメ</t>
    </rPh>
    <phoneticPr fontId="1"/>
  </si>
  <si>
    <t>タイプ武人・伝承の攻30％UP　/　タイプ【姫】の攻20％UP</t>
    <rPh sb="9" eb="10">
      <t>コウ</t>
    </rPh>
    <rPh sb="25" eb="26">
      <t>コウ</t>
    </rPh>
    <phoneticPr fontId="1"/>
  </si>
  <si>
    <t>2017/01龍神杯二部</t>
    <rPh sb="7" eb="9">
      <t>リュウジン</t>
    </rPh>
    <rPh sb="9" eb="10">
      <t>ハイ</t>
    </rPh>
    <phoneticPr fontId="4"/>
  </si>
  <si>
    <t>【姫甲冑】竹林院</t>
    <rPh sb="1" eb="2">
      <t>ヒメ</t>
    </rPh>
    <rPh sb="2" eb="4">
      <t>カッチュウ</t>
    </rPh>
    <rPh sb="5" eb="7">
      <t>チクリン</t>
    </rPh>
    <rPh sb="7" eb="8">
      <t>イン</t>
    </rPh>
    <phoneticPr fontId="1"/>
  </si>
  <si>
    <t>ひめかっちゅうちくりんいん</t>
  </si>
  <si>
    <t>縦横巡らす結びの封印</t>
    <rPh sb="0" eb="2">
      <t>タテヨコ</t>
    </rPh>
    <rPh sb="2" eb="3">
      <t>メグ</t>
    </rPh>
    <rPh sb="5" eb="6">
      <t>ムス</t>
    </rPh>
    <rPh sb="8" eb="10">
      <t>フウイン</t>
    </rPh>
    <phoneticPr fontId="1"/>
  </si>
  <si>
    <t>タイプ武人・伝承の防30％UP　/　タイプ【姫】の防20％UP</t>
  </si>
  <si>
    <t>2017/01サイコロ</t>
    <phoneticPr fontId="4"/>
  </si>
  <si>
    <t>【占い師】オリーブちゃん</t>
    <rPh sb="1" eb="2">
      <t>ウラナ</t>
    </rPh>
    <rPh sb="3" eb="4">
      <t>シ</t>
    </rPh>
    <phoneticPr fontId="1"/>
  </si>
  <si>
    <t>うらないしおりーぶちゃん</t>
  </si>
  <si>
    <t>瀬戸内の占星術師</t>
    <rPh sb="0" eb="3">
      <t>セトウチ</t>
    </rPh>
    <rPh sb="4" eb="8">
      <t>センセイジュツシ</t>
    </rPh>
    <phoneticPr fontId="1"/>
  </si>
  <si>
    <t>タイプ神秘・知性派の攻30％UP　/　タイプ【飲食】の攻20％UP</t>
    <rPh sb="10" eb="11">
      <t>コウ</t>
    </rPh>
    <rPh sb="27" eb="28">
      <t>コウ</t>
    </rPh>
    <phoneticPr fontId="1"/>
  </si>
  <si>
    <t>2017/01全国巡り</t>
    <phoneticPr fontId="4"/>
  </si>
  <si>
    <t>若松賎子</t>
  </si>
  <si>
    <t>わかまつしずこ</t>
  </si>
  <si>
    <t>言文一致のおもひで</t>
    <rPh sb="0" eb="4">
      <t>ゲンブンイッチ</t>
    </rPh>
    <phoneticPr fontId="1"/>
  </si>
  <si>
    <t>タイプ神秘・飲食の攻30％UP　/　タイプ【知性派】の攻20％UP</t>
    <rPh sb="9" eb="10">
      <t>コウ</t>
    </rPh>
    <rPh sb="27" eb="28">
      <t>コウ</t>
    </rPh>
    <phoneticPr fontId="1"/>
  </si>
  <si>
    <t>2017/10/15 12:00～2017/12/15 11:59</t>
    <phoneticPr fontId="4"/>
  </si>
  <si>
    <t>2016/12防衛戦</t>
    <rPh sb="7" eb="10">
      <t>ボウエイセン</t>
    </rPh>
    <phoneticPr fontId="4"/>
  </si>
  <si>
    <t>姫</t>
  </si>
  <si>
    <t>阿野廉子</t>
  </si>
  <si>
    <t>あのやすこ</t>
  </si>
  <si>
    <t>寵愛悪女の微笑み</t>
    <rPh sb="0" eb="2">
      <t>チョウアイ</t>
    </rPh>
    <rPh sb="2" eb="4">
      <t>アクジョ</t>
    </rPh>
    <rPh sb="5" eb="7">
      <t>ホホエ</t>
    </rPh>
    <phoneticPr fontId="1"/>
  </si>
  <si>
    <t>タイプ武人・伝承の攻30％UP　/　タイプ【姫】の攻20％UP</t>
  </si>
  <si>
    <t>2016/12龍神杯一部</t>
    <phoneticPr fontId="4"/>
  </si>
  <si>
    <t>【雪の自然現象】浅間大神</t>
  </si>
  <si>
    <t>ゆきのしぜんげんしょうあさまのおおかみ</t>
  </si>
  <si>
    <t>氷の剣山の脅威</t>
    <rPh sb="0" eb="1">
      <t>コオリ</t>
    </rPh>
    <rPh sb="2" eb="4">
      <t>ケンザン</t>
    </rPh>
    <rPh sb="5" eb="7">
      <t>キョウイ</t>
    </rPh>
    <phoneticPr fontId="1"/>
  </si>
  <si>
    <t>2016/12龍神杯二部</t>
    <rPh sb="7" eb="9">
      <t>リュウジン</t>
    </rPh>
    <rPh sb="9" eb="10">
      <t>ハイ</t>
    </rPh>
    <phoneticPr fontId="4"/>
  </si>
  <si>
    <t>九州・沖縄</t>
  </si>
  <si>
    <t>【雪の自然現象】コイノミコト</t>
  </si>
  <si>
    <t>ゆきのしぜんげんしょうこいのみこと</t>
  </si>
  <si>
    <t>祀られし刀神の神助</t>
    <rPh sb="0" eb="1">
      <t>マツ</t>
    </rPh>
    <rPh sb="4" eb="5">
      <t>カタナ</t>
    </rPh>
    <rPh sb="5" eb="6">
      <t>カミ</t>
    </rPh>
    <rPh sb="7" eb="8">
      <t>カミ</t>
    </rPh>
    <rPh sb="8" eb="9">
      <t>タス</t>
    </rPh>
    <phoneticPr fontId="1"/>
  </si>
  <si>
    <t>タイプ知性派・飲食の攻30％UP　/　タイプ【神秘】の攻20％UP</t>
  </si>
  <si>
    <t>2016/12サイコロ</t>
    <phoneticPr fontId="4"/>
  </si>
  <si>
    <t>【イルミネーション】妙林尼</t>
  </si>
  <si>
    <t>いるみねーしょんみょうりんに</t>
  </si>
  <si>
    <t>戦国淑女の嗜みたるや</t>
    <rPh sb="0" eb="2">
      <t>センゴク</t>
    </rPh>
    <rPh sb="2" eb="4">
      <t>シュクジョ</t>
    </rPh>
    <rPh sb="5" eb="6">
      <t>タシナ</t>
    </rPh>
    <phoneticPr fontId="1"/>
  </si>
  <si>
    <t>タイプ姫・伝承の防30％UP　/　タイプ【武人】の防20％UP</t>
  </si>
  <si>
    <t>2016/12全国巡り</t>
    <phoneticPr fontId="4"/>
  </si>
  <si>
    <t>エンゼルフィッシュ</t>
  </si>
  <si>
    <t>えんぜるふぃっしゅ</t>
  </si>
  <si>
    <t>水中を舞う天使の戯れ</t>
    <rPh sb="0" eb="2">
      <t>スイチュウ</t>
    </rPh>
    <rPh sb="3" eb="4">
      <t>マ</t>
    </rPh>
    <rPh sb="5" eb="7">
      <t>テンシ</t>
    </rPh>
    <rPh sb="8" eb="9">
      <t>タワム</t>
    </rPh>
    <phoneticPr fontId="1"/>
  </si>
  <si>
    <t>タイプ偉人・妖怪の防30％UP　/　タイプ【名物】の防20％UP</t>
  </si>
  <si>
    <t>2017/08/15 12:00～2017/10/15 11:59</t>
    <phoneticPr fontId="4"/>
  </si>
  <si>
    <t>2016/11防衛戦</t>
    <rPh sb="7" eb="10">
      <t>ボウエイセン</t>
    </rPh>
    <phoneticPr fontId="4"/>
  </si>
  <si>
    <t>飲食</t>
  </si>
  <si>
    <t>唐辛子</t>
  </si>
  <si>
    <t>とうがらし</t>
    <phoneticPr fontId="4"/>
  </si>
  <si>
    <t>処11+10+10 処11+10 処11,10,10,10</t>
  </si>
  <si>
    <t>カプサイシンの誘惑</t>
    <phoneticPr fontId="4"/>
  </si>
  <si>
    <t>タイプ神秘・知性派の防25％UP　/　タイプ【飲食】の防20％UP</t>
  </si>
  <si>
    <t>2016/11龍神杯一部</t>
    <phoneticPr fontId="4"/>
  </si>
  <si>
    <t>竹切狸</t>
  </si>
  <si>
    <t>たけきりだぬき</t>
    <phoneticPr fontId="4"/>
  </si>
  <si>
    <t>処10+10+10 処12,10,10</t>
  </si>
  <si>
    <t>月夜に響くは竹切りの音</t>
    <phoneticPr fontId="4"/>
  </si>
  <si>
    <t>タイプ偉人・名物の攻25％UP　/　所属が【近畿】とそれに属する県、および【全国】【西日本】の攻20％UP</t>
  </si>
  <si>
    <t>2016/11龍神杯二部</t>
    <rPh sb="7" eb="9">
      <t>リュウジン</t>
    </rPh>
    <rPh sb="9" eb="10">
      <t>ハイ</t>
    </rPh>
    <phoneticPr fontId="4"/>
  </si>
  <si>
    <t>猩々</t>
  </si>
  <si>
    <t>しょうじょう</t>
    <phoneticPr fontId="4"/>
  </si>
  <si>
    <t>処11+9+10 処10+10 処13,12,10,10,10,10</t>
  </si>
  <si>
    <t>紅酒呑は波の間より</t>
    <phoneticPr fontId="4"/>
  </si>
  <si>
    <t>タイプ偉人・名物の攻25％UP　/　所属が【北海道・東北】とそれに属する県、および【全国】【東日本】の攻20％UP</t>
  </si>
  <si>
    <t>2016/11サイコロ</t>
    <phoneticPr fontId="4"/>
  </si>
  <si>
    <t>【マーチングバンド】万里姫</t>
  </si>
  <si>
    <t>まーちんぐばんどまりひめ</t>
    <phoneticPr fontId="4"/>
  </si>
  <si>
    <t>処12+10+10 処10+10</t>
  </si>
  <si>
    <t>自由自在に操るバトン</t>
    <phoneticPr fontId="4"/>
  </si>
  <si>
    <t>2016/11四神戦</t>
    <rPh sb="7" eb="8">
      <t>ヨン</t>
    </rPh>
    <rPh sb="8" eb="9">
      <t>シン</t>
    </rPh>
    <rPh sb="9" eb="10">
      <t>セン</t>
    </rPh>
    <phoneticPr fontId="4"/>
  </si>
  <si>
    <t>伝承</t>
  </si>
  <si>
    <t>【御神楽】白滝姫</t>
  </si>
  <si>
    <t>みかぐらしらたきひめ</t>
    <phoneticPr fontId="4"/>
  </si>
  <si>
    <t>処13+竜+13,10,10,11,10 処12</t>
    <rPh sb="4" eb="5">
      <t>リュウ</t>
    </rPh>
    <phoneticPr fontId="1"/>
  </si>
  <si>
    <t>その衣は白滝のように</t>
    <phoneticPr fontId="4"/>
  </si>
  <si>
    <t>2017/06/15 12:00～2017/08/15 11:59</t>
    <phoneticPr fontId="4"/>
  </si>
  <si>
    <t>2016/10防衛戦</t>
    <rPh sb="7" eb="10">
      <t>ボウエイセン</t>
    </rPh>
    <phoneticPr fontId="4"/>
  </si>
  <si>
    <t>【ブラック】勝海舟</t>
  </si>
  <si>
    <t>ぶらっくかつかいしゅう</t>
    <phoneticPr fontId="4"/>
  </si>
  <si>
    <t>託された近代日本の運命</t>
    <phoneticPr fontId="4"/>
  </si>
  <si>
    <t>タイプ妖怪・名物の攻25％UP　/　タイプ【偉人】の攻20％UP</t>
  </si>
  <si>
    <t>2016/10龍神杯一部</t>
    <phoneticPr fontId="4"/>
  </si>
  <si>
    <t>川越氷川祭</t>
  </si>
  <si>
    <t>かわごえひかわまつり</t>
    <phoneticPr fontId="4"/>
  </si>
  <si>
    <t>処11+10+10 処11+10 処11,11,10</t>
  </si>
  <si>
    <t>縦横無尽の山車巡行</t>
    <phoneticPr fontId="4"/>
  </si>
  <si>
    <t>タイプ武人・姫の防25％UP　/　タイプ【伝承】の防20％UP</t>
  </si>
  <si>
    <t>2016/10龍神杯二部</t>
    <rPh sb="7" eb="9">
      <t>リュウジン</t>
    </rPh>
    <rPh sb="9" eb="10">
      <t>ハイ</t>
    </rPh>
    <phoneticPr fontId="4"/>
  </si>
  <si>
    <t>那覇大綱挽まつり</t>
  </si>
  <si>
    <t>なはおおつなひきまつり</t>
    <phoneticPr fontId="4"/>
  </si>
  <si>
    <t>処12+10+10 処10+10 処10</t>
  </si>
  <si>
    <t>その一心を大綱に込めて</t>
    <phoneticPr fontId="4"/>
  </si>
  <si>
    <t>タイプ武人・姫の攻25％UP　/　タイプ【伝承】の攻20％UP</t>
  </si>
  <si>
    <t>2016/10サイコロ</t>
    <phoneticPr fontId="4"/>
  </si>
  <si>
    <t>【格闘技】鍋島の化け猫</t>
  </si>
  <si>
    <t>かくとうぎなべしまのばけねこ</t>
    <phoneticPr fontId="4"/>
  </si>
  <si>
    <t>処13+10+10 処12+10 処11,11,10</t>
  </si>
  <si>
    <t>不撓不屈の精神</t>
    <phoneticPr fontId="4"/>
  </si>
  <si>
    <t>タイプ偉人・名物の攻25％UP　/　タイプ【妖怪】の攻20％UP</t>
  </si>
  <si>
    <t>2017/04/15 12:00～2017/06/15 11:59</t>
    <phoneticPr fontId="4"/>
  </si>
  <si>
    <t>2016/09防衛戦</t>
    <rPh sb="7" eb="10">
      <t>ボウエイセン</t>
    </rPh>
    <phoneticPr fontId="4"/>
  </si>
  <si>
    <t>秋田愛季</t>
  </si>
  <si>
    <t>あきたちかすえ</t>
    <phoneticPr fontId="4"/>
  </si>
  <si>
    <t>399_551</t>
    <phoneticPr fontId="4"/>
  </si>
  <si>
    <t>441_609</t>
    <phoneticPr fontId="4"/>
  </si>
  <si>
    <t>521_719</t>
    <phoneticPr fontId="4"/>
  </si>
  <si>
    <t>北斗七星の智慧</t>
    <phoneticPr fontId="4"/>
  </si>
  <si>
    <t>タイプ姫・伝承の防25％UP　/　タイプ偉人・妖怪・名物の防15％UP</t>
  </si>
  <si>
    <t>2016/09全国巡り</t>
    <rPh sb="7" eb="9">
      <t>ゼンコク</t>
    </rPh>
    <rPh sb="9" eb="10">
      <t>メグ</t>
    </rPh>
    <phoneticPr fontId="4"/>
  </si>
  <si>
    <t>銀狐</t>
  </si>
  <si>
    <t>ぎんぎつね</t>
    <phoneticPr fontId="4"/>
  </si>
  <si>
    <t>400_550</t>
    <phoneticPr fontId="4"/>
  </si>
  <si>
    <t>440__610</t>
    <phoneticPr fontId="4"/>
  </si>
  <si>
    <t>520_720</t>
    <phoneticPr fontId="4"/>
  </si>
  <si>
    <t>月の狐の恩返し</t>
    <phoneticPr fontId="4"/>
  </si>
  <si>
    <t>タイプ偉人・名物の防25％UP　/　タイプ神秘・知性派・飲食の防15％UP</t>
  </si>
  <si>
    <t>2016/09龍神杯一部</t>
    <phoneticPr fontId="4"/>
  </si>
  <si>
    <t>けんちんうどんちゃん</t>
  </si>
  <si>
    <t>けんちんうどんちゃん</t>
    <phoneticPr fontId="4"/>
  </si>
  <si>
    <t>550_400</t>
    <phoneticPr fontId="4"/>
  </si>
  <si>
    <t>610_440</t>
    <phoneticPr fontId="4"/>
  </si>
  <si>
    <t>720_520</t>
    <phoneticPr fontId="4"/>
  </si>
  <si>
    <t>精進あるのみ家庭の味</t>
    <phoneticPr fontId="4"/>
  </si>
  <si>
    <t>タイプ神秘・知性派の攻25％UP　/　タイプ伝承・武人・姫の攻15％UP</t>
  </si>
  <si>
    <t>2016/09サイコロ</t>
    <phoneticPr fontId="4"/>
  </si>
  <si>
    <t>【おかし】西郡局</t>
  </si>
  <si>
    <t>おかしにしごおりのつぼね</t>
    <phoneticPr fontId="4"/>
  </si>
  <si>
    <t>愛され女子の定番菓子</t>
    <phoneticPr fontId="4"/>
  </si>
  <si>
    <t>タイプ武人・伝承の攻25％UP　/　タイプ偉人・妖怪・名物の攻15％UP</t>
  </si>
  <si>
    <t>2016/09龍神杯二部</t>
    <rPh sb="7" eb="9">
      <t>リュウジン</t>
    </rPh>
    <rPh sb="9" eb="10">
      <t>ハイ</t>
    </rPh>
    <phoneticPr fontId="4"/>
  </si>
  <si>
    <t>すき焼きうどんちゃん</t>
  </si>
  <si>
    <t>すきやきうどんちゃん</t>
    <phoneticPr fontId="4"/>
  </si>
  <si>
    <t>440_610</t>
    <phoneticPr fontId="4"/>
  </si>
  <si>
    <t>旬彩具材の薄味だし</t>
    <phoneticPr fontId="4"/>
  </si>
  <si>
    <t>タイプ神秘・知性派の防25％UP　/　タイプ偉人・妖怪・名物の防15％UP</t>
  </si>
  <si>
    <t>2017/02/15 12:00～2017/04/15 11:59</t>
    <phoneticPr fontId="4"/>
  </si>
  <si>
    <t>2016/08サイコロ</t>
    <phoneticPr fontId="4"/>
  </si>
  <si>
    <t>【キャンプ】まりも</t>
  </si>
  <si>
    <t>きゃんぷまりも</t>
    <phoneticPr fontId="4"/>
  </si>
  <si>
    <t>処12+11+(12+11),10,10,10,10</t>
  </si>
  <si>
    <t>眠る癒しの球体</t>
    <phoneticPr fontId="4"/>
  </si>
  <si>
    <t>2016/08天下統一戦</t>
    <rPh sb="7" eb="9">
      <t>テンカ</t>
    </rPh>
    <rPh sb="9" eb="11">
      <t>トウイツ</t>
    </rPh>
    <rPh sb="11" eb="12">
      <t>セン</t>
    </rPh>
    <phoneticPr fontId="4"/>
  </si>
  <si>
    <t>【おばけ屋敷】阿池姫</t>
  </si>
  <si>
    <t>おばけやしきおちひめ</t>
    <phoneticPr fontId="4"/>
  </si>
  <si>
    <t>処13(12↑)+12+(12+11),10,10,10,10</t>
  </si>
  <si>
    <t>廃病院の守り神</t>
    <phoneticPr fontId="4"/>
  </si>
  <si>
    <t>2016/08龍神杯二部</t>
    <rPh sb="7" eb="9">
      <t>リュウジン</t>
    </rPh>
    <rPh sb="9" eb="10">
      <t>ハイ</t>
    </rPh>
    <rPh sb="10" eb="12">
      <t>ニブ</t>
    </rPh>
    <phoneticPr fontId="4"/>
  </si>
  <si>
    <t>【海軍】石川五右衛門</t>
  </si>
  <si>
    <t>かいぐんいしかわごえもん</t>
    <phoneticPr fontId="4"/>
  </si>
  <si>
    <t>処12+10+11 処10</t>
  </si>
  <si>
    <t>正義を誓った銃剣</t>
    <phoneticPr fontId="4"/>
  </si>
  <si>
    <t>2016/08龍神杯一部</t>
    <phoneticPr fontId="4"/>
  </si>
  <si>
    <t>【海軍】井伊直政</t>
  </si>
  <si>
    <t>かいぐんいいなおまさ</t>
    <phoneticPr fontId="4"/>
  </si>
  <si>
    <t>処12+10+10 処10,10,10,10,10</t>
  </si>
  <si>
    <t>赤いオーラは忠義の証</t>
    <phoneticPr fontId="4"/>
  </si>
  <si>
    <t>2016/08防衛戦</t>
    <rPh sb="7" eb="10">
      <t>ボウエイセン</t>
    </rPh>
    <phoneticPr fontId="4"/>
  </si>
  <si>
    <t>知性派</t>
  </si>
  <si>
    <t>【雅和楽器】石上露子</t>
  </si>
  <si>
    <t>みやびわがっきいそのかみつゆこ</t>
    <phoneticPr fontId="4"/>
  </si>
  <si>
    <t>処12+11+12 処10,10,10,10,11</t>
  </si>
  <si>
    <t>美しき白菊の花の奏</t>
    <phoneticPr fontId="4"/>
  </si>
  <si>
    <t>2016/12/15 12:00～2017/02/15 11:59</t>
    <phoneticPr fontId="4"/>
  </si>
  <si>
    <t>2016/07防衛戦</t>
    <rPh sb="7" eb="10">
      <t>ボウエイセン</t>
    </rPh>
    <phoneticPr fontId="4"/>
  </si>
  <si>
    <t>江戸紫</t>
  </si>
  <si>
    <t>えどむらさき</t>
    <phoneticPr fontId="4"/>
  </si>
  <si>
    <t>処13+11+(12+12),10,10,10,11</t>
    <phoneticPr fontId="4"/>
  </si>
  <si>
    <t>粋な江戸っ子の象徴</t>
    <phoneticPr fontId="4"/>
  </si>
  <si>
    <t>2016/07サイコロ</t>
    <phoneticPr fontId="4"/>
  </si>
  <si>
    <t>【カントリー】小野お通</t>
  </si>
  <si>
    <t>かんとりーおののおつう</t>
    <phoneticPr fontId="4"/>
  </si>
  <si>
    <t>処10</t>
    <phoneticPr fontId="4"/>
  </si>
  <si>
    <t>お通流の麦収穫</t>
    <phoneticPr fontId="4"/>
  </si>
  <si>
    <t>タイプ武人・伝承の攻25％UP　/　タイプ妖怪・名物の防20％DOWN</t>
  </si>
  <si>
    <t>2016/07龍神杯二部</t>
    <rPh sb="7" eb="9">
      <t>リュウジン</t>
    </rPh>
    <rPh sb="9" eb="10">
      <t>ハイ</t>
    </rPh>
    <rPh sb="10" eb="12">
      <t>ニブ</t>
    </rPh>
    <phoneticPr fontId="4"/>
  </si>
  <si>
    <t>【刑事】緒方洪庵</t>
  </si>
  <si>
    <t>けいじおがたこうあん</t>
    <phoneticPr fontId="4"/>
  </si>
  <si>
    <t>処12+10+(11+10)</t>
  </si>
  <si>
    <t>微笑みの鬼刑事</t>
    <phoneticPr fontId="4"/>
  </si>
  <si>
    <t>タイプ妖怪・名物の防25％UP　/　タイプ神秘・飲食の攻20％DOWN</t>
  </si>
  <si>
    <t>2016/07龍神杯一部</t>
    <rPh sb="7" eb="9">
      <t>リュウジン</t>
    </rPh>
    <rPh sb="9" eb="10">
      <t>ハイ</t>
    </rPh>
    <rPh sb="10" eb="12">
      <t>イチブ</t>
    </rPh>
    <phoneticPr fontId="4"/>
  </si>
  <si>
    <t>【刑事】園部秀雄</t>
  </si>
  <si>
    <t>けいじそのべひでお</t>
    <phoneticPr fontId="4"/>
  </si>
  <si>
    <t>処12+10+(11+10),10,10,10,10 処10</t>
  </si>
  <si>
    <t>女刑事、秀雄の事件簿</t>
    <phoneticPr fontId="4"/>
  </si>
  <si>
    <t>2016/07全国巡り</t>
    <rPh sb="7" eb="9">
      <t>ゼンコク</t>
    </rPh>
    <rPh sb="9" eb="10">
      <t>メグ</t>
    </rPh>
    <phoneticPr fontId="4"/>
  </si>
  <si>
    <t>マゼランペンギン</t>
  </si>
  <si>
    <t>まぜらんぺんぎん</t>
    <phoneticPr fontId="4"/>
  </si>
  <si>
    <t>処11+10+10</t>
    <phoneticPr fontId="4"/>
  </si>
  <si>
    <t>胸に煌めく黒いライン</t>
    <phoneticPr fontId="4"/>
  </si>
  <si>
    <t>2016/10/15 12:00～2016/12/15 11:59</t>
    <phoneticPr fontId="4"/>
  </si>
  <si>
    <t>2016/06龍神杯二部</t>
    <rPh sb="7" eb="9">
      <t>リュウジン</t>
    </rPh>
    <rPh sb="9" eb="10">
      <t>ハイ</t>
    </rPh>
    <rPh sb="10" eb="12">
      <t>ニブ</t>
    </rPh>
    <phoneticPr fontId="4"/>
  </si>
  <si>
    <t>【雨詩】菅原道真</t>
  </si>
  <si>
    <t>あめうたすがわらのみちざね</t>
    <phoneticPr fontId="4"/>
  </si>
  <si>
    <t>500_450</t>
    <phoneticPr fontId="4"/>
  </si>
  <si>
    <t>550_500</t>
    <phoneticPr fontId="4"/>
  </si>
  <si>
    <t>650_590</t>
    <phoneticPr fontId="4"/>
  </si>
  <si>
    <t>処11+11+(11+11),9,10,10,10</t>
  </si>
  <si>
    <t>雨止まぬ無実の罪</t>
    <phoneticPr fontId="4"/>
  </si>
  <si>
    <t>タイプ神秘・飲食の攻25％UP　/　タイプ神秘・飲食の防20％DOWN</t>
  </si>
  <si>
    <t>2016/06龍神杯一部</t>
    <rPh sb="7" eb="9">
      <t>リュウジン</t>
    </rPh>
    <rPh sb="9" eb="10">
      <t>ハイ</t>
    </rPh>
    <rPh sb="10" eb="12">
      <t>イチブ</t>
    </rPh>
    <phoneticPr fontId="4"/>
  </si>
  <si>
    <t>【雨詩】三ヶ島葭子</t>
  </si>
  <si>
    <t>あめうたみかじまよしこ</t>
    <phoneticPr fontId="4"/>
  </si>
  <si>
    <t>処11+10+(11+10),10</t>
  </si>
  <si>
    <t>心映す輝く雨の雫</t>
    <phoneticPr fontId="4"/>
  </si>
  <si>
    <t>タイプ神秘・飲食の防25％UP　/　タイプ【知性派】の防20％UP</t>
  </si>
  <si>
    <t>2016/06防衛戦</t>
    <phoneticPr fontId="4"/>
  </si>
  <si>
    <t>【冥暗】不知火</t>
  </si>
  <si>
    <t>めいあんしらぬい</t>
    <phoneticPr fontId="4"/>
  </si>
  <si>
    <t>400_370</t>
    <phoneticPr fontId="4"/>
  </si>
  <si>
    <t>440_400</t>
    <phoneticPr fontId="4"/>
  </si>
  <si>
    <t>?</t>
    <phoneticPr fontId="4"/>
  </si>
  <si>
    <t>処12+10</t>
    <rPh sb="0" eb="1">
      <t>トコロ</t>
    </rPh>
    <phoneticPr fontId="1"/>
  </si>
  <si>
    <t>闇海に漂う火の玉</t>
    <phoneticPr fontId="4"/>
  </si>
  <si>
    <t>2016/06防衛戦</t>
    <rPh sb="7" eb="10">
      <t>ボウエイセン</t>
    </rPh>
    <phoneticPr fontId="4"/>
  </si>
  <si>
    <t>【冥暗】影女</t>
  </si>
  <si>
    <t>めいあんかげおんな</t>
    <phoneticPr fontId="4"/>
  </si>
  <si>
    <t>処11+10+(11+10)</t>
    <phoneticPr fontId="4"/>
  </si>
  <si>
    <t>触れられない恐怖</t>
    <phoneticPr fontId="4"/>
  </si>
  <si>
    <t>タイプ偉人・名物の防25％UP　/　タイプ【妖怪】の防20％UP</t>
  </si>
  <si>
    <t>2016/06サイコロ</t>
    <phoneticPr fontId="4"/>
  </si>
  <si>
    <t>【小悪魔】蘆屋道満</t>
  </si>
  <si>
    <t>こあくまあしやどうまん</t>
    <phoneticPr fontId="4"/>
  </si>
  <si>
    <t>処11+10+10</t>
  </si>
  <si>
    <t>比肩する最強陰陽師</t>
    <phoneticPr fontId="4"/>
  </si>
  <si>
    <t>2016/06全国巡り</t>
    <rPh sb="7" eb="9">
      <t>ゼンコク</t>
    </rPh>
    <rPh sb="9" eb="10">
      <t>メグ</t>
    </rPh>
    <phoneticPr fontId="4"/>
  </si>
  <si>
    <t>【山ガール】桔梗姫</t>
  </si>
  <si>
    <t>やまがーるききょうひめ</t>
    <phoneticPr fontId="4"/>
  </si>
  <si>
    <t>処10+10</t>
    <rPh sb="0" eb="1">
      <t>トコロ</t>
    </rPh>
    <phoneticPr fontId="1"/>
  </si>
  <si>
    <t>将門も畏れた天然少女</t>
    <phoneticPr fontId="4"/>
  </si>
  <si>
    <t>タイプ武人・姫の防25％UP</t>
    <phoneticPr fontId="4"/>
  </si>
  <si>
    <t>所持</t>
    <rPh sb="0" eb="2">
      <t>ショジ</t>
    </rPh>
    <phoneticPr fontId="4"/>
  </si>
  <si>
    <t>進化</t>
    <rPh sb="0" eb="2">
      <t>シンカ</t>
    </rPh>
    <phoneticPr fontId="4"/>
  </si>
  <si>
    <t>MAX攻</t>
    <rPh sb="3" eb="4">
      <t>コウ</t>
    </rPh>
    <phoneticPr fontId="4"/>
  </si>
  <si>
    <t>MAX防</t>
    <rPh sb="3" eb="4">
      <t>ボウ</t>
    </rPh>
    <phoneticPr fontId="4"/>
  </si>
  <si>
    <t>西日本</t>
    <rPh sb="0" eb="1">
      <t>ニシ</t>
    </rPh>
    <rPh sb="1" eb="3">
      <t>ニホン</t>
    </rPh>
    <phoneticPr fontId="4"/>
  </si>
  <si>
    <t>白虎</t>
  </si>
  <si>
    <t>びゃっこ</t>
    <phoneticPr fontId="4"/>
  </si>
  <si>
    <t>西方七宿の激動</t>
    <phoneticPr fontId="4"/>
  </si>
  <si>
    <t>所属が【東日本】と、それに属する地方・県、および【全国】の防20％DOWN</t>
    <phoneticPr fontId="4"/>
  </si>
  <si>
    <t>東日本</t>
    <rPh sb="0" eb="1">
      <t>ヒガシ</t>
    </rPh>
    <rPh sb="1" eb="3">
      <t>ニホン</t>
    </rPh>
    <phoneticPr fontId="4"/>
  </si>
  <si>
    <t>神秘</t>
    <rPh sb="0" eb="2">
      <t>シンピ</t>
    </rPh>
    <phoneticPr fontId="4"/>
  </si>
  <si>
    <t>玄武</t>
  </si>
  <si>
    <t>げんぶ</t>
    <phoneticPr fontId="4"/>
  </si>
  <si>
    <t>10,</t>
    <phoneticPr fontId="4"/>
  </si>
  <si>
    <t>北方を守護する堅牢な甲羅</t>
    <phoneticPr fontId="4"/>
  </si>
  <si>
    <t>青龍</t>
  </si>
  <si>
    <t>せいりゅう</t>
    <phoneticPr fontId="4"/>
  </si>
  <si>
    <t>17,</t>
    <phoneticPr fontId="4"/>
  </si>
  <si>
    <t>東方七宿の招来</t>
    <phoneticPr fontId="4"/>
  </si>
  <si>
    <t>所属が【西日本】と、それに属する地方・県、および【全国】の防20％DOWN</t>
    <phoneticPr fontId="4"/>
  </si>
  <si>
    <t>朱雀</t>
  </si>
  <si>
    <t>すざく</t>
    <phoneticPr fontId="4"/>
  </si>
  <si>
    <t>13,</t>
    <phoneticPr fontId="4"/>
  </si>
  <si>
    <t>南方を守護する荘厳な火</t>
    <phoneticPr fontId="4"/>
  </si>
  <si>
    <t>道頓堀</t>
  </si>
  <si>
    <t>どうとんぼり</t>
    <phoneticPr fontId="4"/>
  </si>
  <si>
    <t>15,</t>
    <phoneticPr fontId="4"/>
  </si>
  <si>
    <t>大阪を代表する娯楽街</t>
    <phoneticPr fontId="4"/>
  </si>
  <si>
    <t>知性派</t>
    <rPh sb="0" eb="2">
      <t>チセイ</t>
    </rPh>
    <rPh sb="2" eb="3">
      <t>ハ</t>
    </rPh>
    <phoneticPr fontId="4"/>
  </si>
  <si>
    <t>紀貫之</t>
  </si>
  <si>
    <t>きのつらゆき</t>
    <phoneticPr fontId="4"/>
  </si>
  <si>
    <t>15,15</t>
    <phoneticPr fontId="4"/>
  </si>
  <si>
    <t>三十六歌仙の閻魔帳</t>
    <phoneticPr fontId="4"/>
  </si>
  <si>
    <t>守宮</t>
  </si>
  <si>
    <t>いもり</t>
    <phoneticPr fontId="4"/>
  </si>
  <si>
    <t>古井戸の守護者</t>
    <rPh sb="0" eb="3">
      <t>フルイド</t>
    </rPh>
    <rPh sb="4" eb="7">
      <t>シュゴシャ</t>
    </rPh>
    <phoneticPr fontId="4"/>
  </si>
  <si>
    <t>タイプ偉人・妖怪・名物の攻20%UP　/　所属が【西日本】と、それに属する地方・県、および【全国】の防20%DOWN</t>
    <rPh sb="3" eb="5">
      <t>イジン</t>
    </rPh>
    <rPh sb="6" eb="8">
      <t>ヨウカイ</t>
    </rPh>
    <rPh sb="9" eb="11">
      <t>メイブツ</t>
    </rPh>
    <rPh sb="12" eb="13">
      <t>コウ</t>
    </rPh>
    <rPh sb="21" eb="23">
      <t>ショゾク</t>
    </rPh>
    <rPh sb="25" eb="26">
      <t>ニシ</t>
    </rPh>
    <rPh sb="26" eb="28">
      <t>ニホン</t>
    </rPh>
    <rPh sb="34" eb="35">
      <t>ゾク</t>
    </rPh>
    <rPh sb="37" eb="39">
      <t>チホウ</t>
    </rPh>
    <rPh sb="40" eb="41">
      <t>ケン</t>
    </rPh>
    <rPh sb="46" eb="48">
      <t>ゼンコク</t>
    </rPh>
    <rPh sb="50" eb="51">
      <t>ボウ</t>
    </rPh>
    <phoneticPr fontId="4"/>
  </si>
  <si>
    <t>長尾為景</t>
  </si>
  <si>
    <t>ながおためかげ</t>
    <phoneticPr fontId="4"/>
  </si>
  <si>
    <t>京飴</t>
  </si>
  <si>
    <t>きょうあめ</t>
    <phoneticPr fontId="4"/>
  </si>
  <si>
    <t>時代が作る美しさ</t>
    <phoneticPr fontId="4"/>
  </si>
  <si>
    <t>浄瑠璃姫</t>
  </si>
  <si>
    <t>じょうるりひめ</t>
    <phoneticPr fontId="4"/>
  </si>
  <si>
    <t>ID</t>
    <phoneticPr fontId="4"/>
  </si>
  <si>
    <t>レア度</t>
    <rPh sb="2" eb="3">
      <t>ド</t>
    </rPh>
    <phoneticPr fontId="4"/>
  </si>
  <si>
    <t>計</t>
    <rPh sb="0" eb="1">
      <t>ケイ</t>
    </rPh>
    <phoneticPr fontId="4"/>
  </si>
  <si>
    <t>コスト</t>
  </si>
  <si>
    <t>2015年</t>
    <rPh sb="4" eb="5">
      <t>ネン</t>
    </rPh>
    <phoneticPr fontId="1"/>
  </si>
  <si>
    <t>6月</t>
  </si>
  <si>
    <t>SR</t>
    <phoneticPr fontId="4"/>
  </si>
  <si>
    <t>無所属</t>
    <rPh sb="0" eb="3">
      <t>ムショゾク</t>
    </rPh>
    <phoneticPr fontId="4"/>
  </si>
  <si>
    <t>【withエレン】リヴァイ</t>
    <phoneticPr fontId="4"/>
  </si>
  <si>
    <t>？</t>
    <phoneticPr fontId="4"/>
  </si>
  <si>
    <t>人類最強の男</t>
    <phoneticPr fontId="4"/>
  </si>
  <si>
    <t>タイプ【姫】の防20％UP</t>
    <phoneticPr fontId="4"/>
  </si>
  <si>
    <t>【withリヴァイ】エレン</t>
    <phoneticPr fontId="4"/>
  </si>
  <si>
    <t>人類の希望</t>
    <phoneticPr fontId="4"/>
  </si>
  <si>
    <t>タイプ【伝承】の防20％UP</t>
    <phoneticPr fontId="4"/>
  </si>
  <si>
    <t>SSR</t>
  </si>
  <si>
    <t>全国</t>
    <rPh sb="0" eb="2">
      <t>ゼンコク</t>
    </rPh>
    <phoneticPr fontId="4"/>
  </si>
  <si>
    <t>エレン&amp;リヴァイ</t>
  </si>
  <si>
    <t>えれんあんどりう゛ぁい</t>
    <phoneticPr fontId="4"/>
  </si>
  <si>
    <t>小さな旅団と大いなる希望</t>
    <phoneticPr fontId="4"/>
  </si>
  <si>
    <t>姫・伝承の防35％UP　/　【武人】の防20％UP</t>
  </si>
  <si>
    <t>7月</t>
  </si>
  <si>
    <t>東日本</t>
  </si>
  <si>
    <t>東の海伝説</t>
    <phoneticPr fontId="4"/>
  </si>
  <si>
    <t>ひがしのうみでんせつ</t>
    <phoneticPr fontId="4"/>
  </si>
  <si>
    <t>鯛とヒラメと蛤と</t>
    <phoneticPr fontId="4"/>
  </si>
  <si>
    <t>タイプ【武人】の攻20％UP</t>
    <phoneticPr fontId="4"/>
  </si>
  <si>
    <t>西日本</t>
  </si>
  <si>
    <t>西の海伝説</t>
    <phoneticPr fontId="4"/>
  </si>
  <si>
    <t>にしのうみでんせつ</t>
    <phoneticPr fontId="4"/>
  </si>
  <si>
    <t>海へ捧げた感謝と誇り</t>
    <phoneticPr fontId="4"/>
  </si>
  <si>
    <t>タイプ【姫】の攻20％UP</t>
    <phoneticPr fontId="4"/>
  </si>
  <si>
    <t>海伝説大集合</t>
    <rPh sb="0" eb="1">
      <t>ウミ</t>
    </rPh>
    <rPh sb="1" eb="3">
      <t>デンセツ</t>
    </rPh>
    <rPh sb="3" eb="6">
      <t>ダイシュウゴウ</t>
    </rPh>
    <phoneticPr fontId="4"/>
  </si>
  <si>
    <t>うみでんせつだいしゅうごう</t>
    <phoneticPr fontId="4"/>
  </si>
  <si>
    <t>島国を囲む海の伝説達</t>
    <phoneticPr fontId="4"/>
  </si>
  <si>
    <t>タイプ武人・姫の攻35％UP　/　タイプ【伝承】の攻20％UP</t>
    <rPh sb="3" eb="5">
      <t>ブジン</t>
    </rPh>
    <rPh sb="6" eb="7">
      <t>ヒメ</t>
    </rPh>
    <rPh sb="8" eb="9">
      <t>コウ</t>
    </rPh>
    <rPh sb="21" eb="23">
      <t>デンショウ</t>
    </rPh>
    <rPh sb="25" eb="26">
      <t>コウ</t>
    </rPh>
    <phoneticPr fontId="1"/>
  </si>
  <si>
    <t>8月</t>
  </si>
  <si>
    <t>【withメビウス】ウルトラマン</t>
    <phoneticPr fontId="4"/>
  </si>
  <si>
    <t>スペシウム光線</t>
    <phoneticPr fontId="4"/>
  </si>
  <si>
    <t>タイプ【偉人】の攻20％UP</t>
    <phoneticPr fontId="4"/>
  </si>
  <si>
    <t>【withウルトラマン】メビウス</t>
    <phoneticPr fontId="4"/>
  </si>
  <si>
    <t>メビュームシュート</t>
    <phoneticPr fontId="4"/>
  </si>
  <si>
    <t>タイプ【妖怪】の攻20％UP</t>
    <phoneticPr fontId="4"/>
  </si>
  <si>
    <t>ウルトラマン×メビウス</t>
  </si>
  <si>
    <t>うるとらまん×めびうす</t>
    <phoneticPr fontId="4"/>
  </si>
  <si>
    <t>スペシウムメビュームシュート</t>
    <phoneticPr fontId="4"/>
  </si>
  <si>
    <t>タイプ偉人・妖怪の攻35％UP　/　タイプ【名物】の攻20％UP</t>
    <rPh sb="6" eb="8">
      <t>ヨウカイ</t>
    </rPh>
    <rPh sb="9" eb="10">
      <t>コウ</t>
    </rPh>
    <rPh sb="22" eb="24">
      <t>メイブツ</t>
    </rPh>
    <rPh sb="26" eb="27">
      <t>コウ</t>
    </rPh>
    <phoneticPr fontId="1"/>
  </si>
  <si>
    <t>9月</t>
  </si>
  <si>
    <t>―</t>
  </si>
  <si>
    <t>合体SR隊士報酬無し</t>
    <rPh sb="0" eb="2">
      <t>ガッタイ</t>
    </rPh>
    <rPh sb="4" eb="6">
      <t>タイシ</t>
    </rPh>
    <rPh sb="6" eb="8">
      <t>ホウシュウ</t>
    </rPh>
    <rPh sb="8" eb="9">
      <t>ナ</t>
    </rPh>
    <phoneticPr fontId="4"/>
  </si>
  <si>
    <t>10月</t>
    <rPh sb="2" eb="3">
      <t>ガツ</t>
    </rPh>
    <phoneticPr fontId="1"/>
  </si>
  <si>
    <t>魔女ガールズ～Trick</t>
    <phoneticPr fontId="4"/>
  </si>
  <si>
    <t>まじょがーるずとりっく</t>
    <phoneticPr fontId="4"/>
  </si>
  <si>
    <t>二人の幻想的ないたずら</t>
    <phoneticPr fontId="4"/>
  </si>
  <si>
    <t>タイプ【偉人】の攻25％UP</t>
    <phoneticPr fontId="4"/>
  </si>
  <si>
    <t>魔女ガールズ～Treat</t>
    <phoneticPr fontId="4"/>
  </si>
  <si>
    <t>まじょがーるずとりーと</t>
    <phoneticPr fontId="4"/>
  </si>
  <si>
    <t>魔女とおもてなしの心</t>
    <phoneticPr fontId="4"/>
  </si>
  <si>
    <t>魔女ガールズ〜Trick or Treat〜</t>
    <rPh sb="0" eb="2">
      <t>マジョ</t>
    </rPh>
    <phoneticPr fontId="4"/>
  </si>
  <si>
    <t>まじょがーるずとりっくおあとりーと</t>
    <phoneticPr fontId="4"/>
  </si>
  <si>
    <t>魔女かお菓子かいたずらか</t>
    <phoneticPr fontId="4"/>
  </si>
  <si>
    <t>11月</t>
    <rPh sb="2" eb="3">
      <t>ガツ</t>
    </rPh>
    <phoneticPr fontId="1"/>
  </si>
  <si>
    <t>あやかし温泉郷 〜 東</t>
    <rPh sb="10" eb="11">
      <t>ヒガシ</t>
    </rPh>
    <phoneticPr fontId="4"/>
  </si>
  <si>
    <t>あやかしおんせんきょうひがし</t>
    <phoneticPr fontId="4"/>
  </si>
  <si>
    <t>二狐の惚け日和</t>
    <phoneticPr fontId="4"/>
  </si>
  <si>
    <t>タイプ【名物】の防25％UP</t>
    <phoneticPr fontId="4"/>
  </si>
  <si>
    <t>あやかし温泉郷 〜 西</t>
    <phoneticPr fontId="4"/>
  </si>
  <si>
    <t>あやかしおんせんきょうにし</t>
    <phoneticPr fontId="4"/>
  </si>
  <si>
    <t>妖と秘湯の絶景</t>
    <phoneticPr fontId="4"/>
  </si>
  <si>
    <t>あやかし温泉郷 〜 極楽 〜</t>
    <rPh sb="10" eb="12">
      <t>ゴクラク</t>
    </rPh>
    <phoneticPr fontId="4"/>
  </si>
  <si>
    <t>あやかしおんせんきょうごくらく</t>
    <phoneticPr fontId="4"/>
  </si>
  <si>
    <t>溶けるような極楽へ御招待♪</t>
    <rPh sb="0" eb="1">
      <t>ト</t>
    </rPh>
    <rPh sb="6" eb="8">
      <t>ゴクラク</t>
    </rPh>
    <rPh sb="9" eb="12">
      <t>ゴショウタイ</t>
    </rPh>
    <phoneticPr fontId="4"/>
  </si>
  <si>
    <t>タイプ偉人・名物の防35％UP　/　タイプ【妖怪】の防20％UP</t>
    <rPh sb="9" eb="10">
      <t>ボウ</t>
    </rPh>
    <rPh sb="22" eb="24">
      <t>ヨウカイ</t>
    </rPh>
    <rPh sb="26" eb="27">
      <t>ボウ</t>
    </rPh>
    <phoneticPr fontId="1"/>
  </si>
  <si>
    <t>12月</t>
    <rPh sb="2" eb="3">
      <t>ガツ</t>
    </rPh>
    <phoneticPr fontId="1"/>
  </si>
  <si>
    <t>無所属</t>
    <rPh sb="0" eb="3">
      <t>ムショゾク</t>
    </rPh>
    <phoneticPr fontId="1"/>
  </si>
  <si>
    <t>東のケーキちゃんず</t>
    <rPh sb="0" eb="1">
      <t>ヒガシ</t>
    </rPh>
    <phoneticPr fontId="1"/>
  </si>
  <si>
    <t>ひがしのけーきちゃんず</t>
    <phoneticPr fontId="4"/>
  </si>
  <si>
    <t>白い二人とやすらぎの時間</t>
    <phoneticPr fontId="4"/>
  </si>
  <si>
    <t>タイプ【神秘】の防25％UP</t>
    <phoneticPr fontId="4"/>
  </si>
  <si>
    <t>西のケーキちゃんず</t>
    <rPh sb="0" eb="1">
      <t>ニシ</t>
    </rPh>
    <phoneticPr fontId="1"/>
  </si>
  <si>
    <t>にしのけーきちゃんず</t>
    <phoneticPr fontId="4"/>
  </si>
  <si>
    <t>濃厚ツインブラック</t>
    <phoneticPr fontId="4"/>
  </si>
  <si>
    <t>特選ケーキちゃんず</t>
    <rPh sb="0" eb="2">
      <t>トクセン</t>
    </rPh>
    <phoneticPr fontId="4"/>
  </si>
  <si>
    <t>とくせんけーきちゃんず</t>
    <phoneticPr fontId="4"/>
  </si>
  <si>
    <t>選抜！ケーキちゃんずの詰め合わせ</t>
    <phoneticPr fontId="4"/>
  </si>
  <si>
    <t>タイプ神秘・知性派の防30％UP　/　タイプ【飲食】の攻20％UP</t>
    <rPh sb="3" eb="5">
      <t>シンピ</t>
    </rPh>
    <rPh sb="6" eb="8">
      <t>チセイ</t>
    </rPh>
    <rPh sb="8" eb="9">
      <t>ハ</t>
    </rPh>
    <rPh sb="10" eb="11">
      <t>ボウ</t>
    </rPh>
    <rPh sb="23" eb="25">
      <t>インショク</t>
    </rPh>
    <rPh sb="27" eb="28">
      <t>コウ</t>
    </rPh>
    <phoneticPr fontId="1"/>
  </si>
  <si>
    <t>2016年</t>
    <rPh sb="4" eb="5">
      <t>ネン</t>
    </rPh>
    <phoneticPr fontId="1"/>
  </si>
  <si>
    <t>1月</t>
    <rPh sb="1" eb="2">
      <t>ガツ</t>
    </rPh>
    <phoneticPr fontId="1"/>
  </si>
  <si>
    <t>【2016賀正】百人一首～凛</t>
  </si>
  <si>
    <t>にせんじゅうろくがしょうひゃくにんいっしゅれい</t>
    <phoneticPr fontId="4"/>
  </si>
  <si>
    <t>凛とした羨望の歌</t>
    <phoneticPr fontId="4"/>
  </si>
  <si>
    <t>タイプ【神秘】の攻25％UP</t>
    <phoneticPr fontId="4"/>
  </si>
  <si>
    <t>【2016賀正】百人一首～麗</t>
  </si>
  <si>
    <t>にせんじゅうろくがしょうひゃくにんいっしゅりん</t>
    <phoneticPr fontId="4"/>
  </si>
  <si>
    <t>麗しき情緒の歌</t>
    <phoneticPr fontId="4"/>
  </si>
  <si>
    <t>全国</t>
    <rPh sb="0" eb="2">
      <t>ゼンコク</t>
    </rPh>
    <phoneticPr fontId="1"/>
  </si>
  <si>
    <t>【2016賀正】競艶百人一首</t>
  </si>
  <si>
    <t>にせんじゅうろくがしょうきょうえんひゃくにんいっしゅ</t>
    <phoneticPr fontId="4"/>
  </si>
  <si>
    <t>(7+7)</t>
    <phoneticPr fontId="4"/>
  </si>
  <si>
    <t>ゆく年くる年競艶の宴</t>
    <phoneticPr fontId="4"/>
  </si>
  <si>
    <t>タイプ神秘・飲食の攻30%UP　/　タイプ【知性派】の攻20%UP</t>
    <rPh sb="3" eb="5">
      <t>シンピ</t>
    </rPh>
    <rPh sb="6" eb="8">
      <t>インショク</t>
    </rPh>
    <rPh sb="9" eb="10">
      <t>コウ</t>
    </rPh>
    <rPh sb="22" eb="24">
      <t>チセイ</t>
    </rPh>
    <rPh sb="24" eb="25">
      <t>ハ</t>
    </rPh>
    <rPh sb="27" eb="28">
      <t>コウ</t>
    </rPh>
    <phoneticPr fontId="1"/>
  </si>
  <si>
    <t>2月</t>
    <phoneticPr fontId="4"/>
  </si>
  <si>
    <t>天クロ節分祭り ～福～</t>
  </si>
  <si>
    <t>てんくろせつぶんまつりふく</t>
    <phoneticPr fontId="4"/>
  </si>
  <si>
    <t>鬼外福内の悪霊ばらい</t>
    <phoneticPr fontId="4"/>
  </si>
  <si>
    <t>タイプ【武人】の防25％UP</t>
    <phoneticPr fontId="4"/>
  </si>
  <si>
    <t>天クロ節分祭り ～鬼～</t>
  </si>
  <si>
    <t>てんくろせつぶんまつりおに</t>
    <phoneticPr fontId="4"/>
  </si>
  <si>
    <t>邪気もたらす鬼参り</t>
    <phoneticPr fontId="4"/>
  </si>
  <si>
    <t>天クロ大節分祭</t>
  </si>
  <si>
    <t>てんくろだいせつぶんさい</t>
    <phoneticPr fontId="4"/>
  </si>
  <si>
    <t>(10+7)+(7+7)</t>
    <phoneticPr fontId="4"/>
  </si>
  <si>
    <t>福を呼び込む豆まき</t>
    <phoneticPr fontId="4"/>
  </si>
  <si>
    <t>タイプ姫・武人・知性派の防30%UP　/　タイプ【伝承】の防20%UP</t>
    <rPh sb="3" eb="4">
      <t>ヒメ</t>
    </rPh>
    <rPh sb="5" eb="7">
      <t>ブジン</t>
    </rPh>
    <rPh sb="8" eb="10">
      <t>チセイ</t>
    </rPh>
    <rPh sb="10" eb="11">
      <t>ハ</t>
    </rPh>
    <rPh sb="12" eb="13">
      <t>ボウ</t>
    </rPh>
    <rPh sb="25" eb="27">
      <t>デンショウ</t>
    </rPh>
    <rPh sb="29" eb="30">
      <t>ボウ</t>
    </rPh>
    <phoneticPr fontId="1"/>
  </si>
  <si>
    <t>3月</t>
    <phoneticPr fontId="4"/>
  </si>
  <si>
    <t>百花繚乱の祭典～華～</t>
  </si>
  <si>
    <t>ひゃっかりょうらんのさいてんはな</t>
    <phoneticPr fontId="4"/>
  </si>
  <si>
    <t>立てば芍薬</t>
    <phoneticPr fontId="4"/>
  </si>
  <si>
    <t>タイプ【妖怪】の攻25％UP</t>
    <phoneticPr fontId="4"/>
  </si>
  <si>
    <t>百花繚乱の祭典～舞～</t>
  </si>
  <si>
    <t>ひゃっかりょうらんのさいてんまい</t>
    <phoneticPr fontId="4"/>
  </si>
  <si>
    <t>座れば牡丹</t>
    <phoneticPr fontId="4"/>
  </si>
  <si>
    <t>百花繚乱の祭典</t>
  </si>
  <si>
    <t>ひゃっかりょうらんのさいてん</t>
    <phoneticPr fontId="4"/>
  </si>
  <si>
    <t>(12+?)+(?+?)+(?+?)</t>
    <phoneticPr fontId="4"/>
  </si>
  <si>
    <t>歩く姿は百合の花</t>
    <phoneticPr fontId="4"/>
  </si>
  <si>
    <t>タイプ偉人・妖怪・伝承の攻30％UP　/　タイプ【名物】の攻20％UP</t>
    <rPh sb="3" eb="5">
      <t>イジン</t>
    </rPh>
    <rPh sb="6" eb="8">
      <t>ヨウカイ</t>
    </rPh>
    <rPh sb="9" eb="11">
      <t>デンショウ</t>
    </rPh>
    <rPh sb="12" eb="13">
      <t>コウ</t>
    </rPh>
    <rPh sb="25" eb="27">
      <t>メイブツ</t>
    </rPh>
    <rPh sb="29" eb="30">
      <t>コウ</t>
    </rPh>
    <phoneticPr fontId="1"/>
  </si>
  <si>
    <t>4月</t>
  </si>
  <si>
    <t>天クロ花見の宴～優～</t>
  </si>
  <si>
    <t>てんくろはなみのうたげゆう</t>
    <phoneticPr fontId="4"/>
  </si>
  <si>
    <t>花咲く春の芽吹き</t>
    <phoneticPr fontId="4"/>
  </si>
  <si>
    <t>タイプ【知性派】の防25％UP</t>
    <phoneticPr fontId="4"/>
  </si>
  <si>
    <t>天クロ花見の宴～美～</t>
  </si>
  <si>
    <t>てんくろはなみのうたげび</t>
    <phoneticPr fontId="4"/>
  </si>
  <si>
    <t>花開く春の芽ぐみ</t>
    <phoneticPr fontId="4"/>
  </si>
  <si>
    <t>タイプ【飲食】の防25％UP</t>
    <phoneticPr fontId="4"/>
  </si>
  <si>
    <t>天クロ花見の宴</t>
  </si>
  <si>
    <t>てんくろはなみのうたげ</t>
    <phoneticPr fontId="4"/>
  </si>
  <si>
    <t>花咲き競う神秘の春</t>
    <phoneticPr fontId="4"/>
  </si>
  <si>
    <t>タイプ飲食・知性派・妖怪の防30％UP　/　タイプ【神秘】の防20％UP</t>
    <rPh sb="3" eb="5">
      <t>インショク</t>
    </rPh>
    <rPh sb="6" eb="8">
      <t>チセイ</t>
    </rPh>
    <rPh sb="8" eb="9">
      <t>ハ</t>
    </rPh>
    <rPh sb="10" eb="12">
      <t>ヨウカイ</t>
    </rPh>
    <rPh sb="13" eb="14">
      <t>ボウ</t>
    </rPh>
    <rPh sb="26" eb="28">
      <t>シンピ</t>
    </rPh>
    <rPh sb="30" eb="31">
      <t>ボウ</t>
    </rPh>
    <phoneticPr fontId="1"/>
  </si>
  <si>
    <t>5月</t>
  </si>
  <si>
    <t>天クロ姫レースクイーンズ～東～</t>
  </si>
  <si>
    <t>てんくろひめれーすくいーんずひがし</t>
    <phoneticPr fontId="4"/>
  </si>
  <si>
    <t>サーキットに咲く華</t>
    <phoneticPr fontId="4"/>
  </si>
  <si>
    <t>天クロ姫レースクイーンズ～西～</t>
  </si>
  <si>
    <t>てんくろひめれーすくいーんずにし</t>
    <phoneticPr fontId="4"/>
  </si>
  <si>
    <t>サーキットを彩る美</t>
    <phoneticPr fontId="4"/>
  </si>
  <si>
    <t>天クロ姫レースクイーンズ</t>
  </si>
  <si>
    <t>てんくろひめれーすくいーんず</t>
    <phoneticPr fontId="4"/>
  </si>
  <si>
    <t>艶やかな競演</t>
    <phoneticPr fontId="4"/>
  </si>
  <si>
    <t>タイプ武人・伝承・飲食の防30％UP　/　タイプ【姫】の防20％UP</t>
    <rPh sb="9" eb="11">
      <t>インショク</t>
    </rPh>
    <rPh sb="25" eb="26">
      <t>ヒメ</t>
    </rPh>
    <phoneticPr fontId="1"/>
  </si>
  <si>
    <t>おさかなコレクション～漁～</t>
    <phoneticPr fontId="4"/>
  </si>
  <si>
    <t>初夏の遊漁</t>
    <phoneticPr fontId="4"/>
  </si>
  <si>
    <t>おさかなコレクション～釣～</t>
    <phoneticPr fontId="4"/>
  </si>
  <si>
    <t>孟夏の漁猟</t>
    <phoneticPr fontId="4"/>
  </si>
  <si>
    <t>天クロ初夏のおさかなコレクション</t>
    <rPh sb="0" eb="1">
      <t>テン</t>
    </rPh>
    <rPh sb="3" eb="5">
      <t>ショカ</t>
    </rPh>
    <phoneticPr fontId="4"/>
  </si>
  <si>
    <t>てんくろしょかのおさかなこれくしょん</t>
    <phoneticPr fontId="4"/>
  </si>
  <si>
    <t>タイプ知性派・神秘・姫の防30％UP　/　タイプ【飲食】の防20％UP</t>
    <rPh sb="3" eb="5">
      <t>チセイ</t>
    </rPh>
    <rPh sb="5" eb="6">
      <t>ハ</t>
    </rPh>
    <rPh sb="7" eb="9">
      <t>シンピ</t>
    </rPh>
    <rPh sb="10" eb="11">
      <t>ヒメ</t>
    </rPh>
    <rPh sb="25" eb="27">
      <t>インショク</t>
    </rPh>
    <phoneticPr fontId="1"/>
  </si>
  <si>
    <t>ひんやり物の怪ガール～冷～</t>
    <phoneticPr fontId="4"/>
  </si>
  <si>
    <t>ひんやりもののけがーるれい</t>
    <phoneticPr fontId="4"/>
  </si>
  <si>
    <t>燃える夏を冷まします</t>
    <phoneticPr fontId="4"/>
  </si>
  <si>
    <t>ひんやり物の怪ガール～凍～</t>
    <phoneticPr fontId="4"/>
  </si>
  <si>
    <t>ひんやりもののけがーるとう</t>
    <phoneticPr fontId="4"/>
  </si>
  <si>
    <t>熱い夏を冷やします</t>
    <phoneticPr fontId="4"/>
  </si>
  <si>
    <t>ひんやり物の怪ガールズ</t>
    <phoneticPr fontId="4"/>
  </si>
  <si>
    <t>ひんやりもののけがーるず</t>
    <phoneticPr fontId="4"/>
  </si>
  <si>
    <t>タイプ偉人・名物・神秘の攻30％UP　/　タイプ【妖怪】の攻25％UP</t>
    <rPh sb="3" eb="5">
      <t>イジン</t>
    </rPh>
    <rPh sb="6" eb="8">
      <t>メイブツ</t>
    </rPh>
    <rPh sb="9" eb="11">
      <t>シンピ</t>
    </rPh>
    <rPh sb="12" eb="13">
      <t>コウ</t>
    </rPh>
    <rPh sb="25" eb="27">
      <t>ヨウカイ</t>
    </rPh>
    <rPh sb="29" eb="30">
      <t>コウ</t>
    </rPh>
    <phoneticPr fontId="1"/>
  </si>
  <si>
    <t>真夏の天クロ祭～東～</t>
    <phoneticPr fontId="4"/>
  </si>
  <si>
    <t>まなつのてんくろさいひがし</t>
    <phoneticPr fontId="4"/>
  </si>
  <si>
    <t>東日本の祭り</t>
    <phoneticPr fontId="4"/>
  </si>
  <si>
    <t>タイプ【武人】の攻25％UP</t>
    <phoneticPr fontId="4"/>
  </si>
  <si>
    <t>真夏の天クロ祭～西～</t>
    <phoneticPr fontId="4"/>
  </si>
  <si>
    <t>まなつのてんくろさいにし</t>
    <phoneticPr fontId="4"/>
  </si>
  <si>
    <t>西日本の祭り</t>
    <phoneticPr fontId="4"/>
  </si>
  <si>
    <t>真夏の天クロ大祭</t>
    <phoneticPr fontId="4"/>
  </si>
  <si>
    <t>まなつのてんくろたいさい</t>
    <phoneticPr fontId="4"/>
  </si>
  <si>
    <t>納涼、夏の風物詩</t>
    <phoneticPr fontId="4"/>
  </si>
  <si>
    <t>タイプ武人・姫・名物の攻30％UP　/　タイプ【伝承】の攻20％UP</t>
  </si>
  <si>
    <t>東の観光大使ちゃんず</t>
  </si>
  <si>
    <t>ひがしのかんこうたいしちゃんず</t>
    <phoneticPr fontId="4"/>
  </si>
  <si>
    <t>東のふるさと大使</t>
    <phoneticPr fontId="4"/>
  </si>
  <si>
    <t>タイプ【偉人】の防25％UP</t>
    <phoneticPr fontId="4"/>
  </si>
  <si>
    <t>西の観光大使ちゃんず</t>
  </si>
  <si>
    <t>にしのかんこうたいしちゃんず</t>
    <phoneticPr fontId="4"/>
  </si>
  <si>
    <t>西のふるさと大使</t>
    <phoneticPr fontId="4"/>
  </si>
  <si>
    <t>日本の観光大使ちゃんず</t>
  </si>
  <si>
    <t>にほんのかんこうたいしちゃんず</t>
    <phoneticPr fontId="4"/>
  </si>
  <si>
    <t>日本の観光大使隊</t>
    <phoneticPr fontId="4"/>
  </si>
  <si>
    <t>タイプ偉人・妖怪・知性派の防30％UP　/　タイプ【名物】の防25％UP</t>
  </si>
  <si>
    <t>文学の巨匠～東～</t>
  </si>
  <si>
    <t>ぶんがくのきょしょうひがし</t>
    <phoneticPr fontId="4"/>
  </si>
  <si>
    <t>葛藤作家と放浪作家</t>
    <phoneticPr fontId="4"/>
  </si>
  <si>
    <t>タイプ【飲食】の攻25％UP</t>
    <phoneticPr fontId="4"/>
  </si>
  <si>
    <t>文学の巨匠～西～</t>
  </si>
  <si>
    <t>ぶんがくのきょしょうにし</t>
    <phoneticPr fontId="4"/>
  </si>
  <si>
    <t>追想作家と民俗作家</t>
    <phoneticPr fontId="4"/>
  </si>
  <si>
    <t>日本文学の巨匠たち</t>
  </si>
  <si>
    <t>にほんぶんがくのきょしょうたち</t>
    <phoneticPr fontId="4"/>
  </si>
  <si>
    <t>(10+竜)+(7+竜)+((7+竜)+(7+竜))</t>
    <rPh sb="4" eb="5">
      <t>リュウ</t>
    </rPh>
    <rPh sb="10" eb="11">
      <t>リュウ</t>
    </rPh>
    <rPh sb="17" eb="18">
      <t>リュウ</t>
    </rPh>
    <rPh sb="23" eb="24">
      <t>リュウ</t>
    </rPh>
    <phoneticPr fontId="4"/>
  </si>
  <si>
    <t>人生は文学である</t>
    <phoneticPr fontId="4"/>
  </si>
  <si>
    <t>タイプ神秘・飲食・伝承の攻30％UP　/　タイプ知性派・姫の攻25％UP</t>
  </si>
  <si>
    <t>天クロ戦国包囲網～地～</t>
    <phoneticPr fontId="4"/>
  </si>
  <si>
    <t>てんくろせんごくほういもうち</t>
    <phoneticPr fontId="4"/>
  </si>
  <si>
    <t>勇猛なり、猛将絵巻</t>
    <phoneticPr fontId="4"/>
  </si>
  <si>
    <t>天クロ戦国包囲網～天～</t>
    <phoneticPr fontId="4"/>
  </si>
  <si>
    <t>てんくろせんごくほういもうてん</t>
    <phoneticPr fontId="4"/>
  </si>
  <si>
    <t>豪傑なり、軍神絵巻</t>
    <phoneticPr fontId="4"/>
  </si>
  <si>
    <t>天クロ戦国包囲網～天地鳴動～</t>
    <phoneticPr fontId="4"/>
  </si>
  <si>
    <t>てんくろせんごくほういもうてんちめいどう</t>
    <phoneticPr fontId="4"/>
  </si>
  <si>
    <t>戦国名将絵巻</t>
    <phoneticPr fontId="4"/>
  </si>
  <si>
    <t>タイプ姫・伝承の攻30％UP　/　タイプ名物・偉人・武人の攻20％UP</t>
  </si>
  <si>
    <t>真冬の天クロ鍋奉行～宴～</t>
  </si>
  <si>
    <t>まふゆのてんくろなべぶぎょううたげ</t>
    <phoneticPr fontId="4"/>
  </si>
  <si>
    <t>囲む冬の風物詩</t>
    <phoneticPr fontId="4"/>
  </si>
  <si>
    <t>タイプ【知性派】の攻25％UP</t>
    <phoneticPr fontId="4"/>
  </si>
  <si>
    <t>真冬の天クロ鍋奉行～和～</t>
  </si>
  <si>
    <t>まふゆのてんくろなべぶぎょうなごみ</t>
    <phoneticPr fontId="4"/>
  </si>
  <si>
    <t>憩いの冬の風物詩</t>
    <phoneticPr fontId="4"/>
  </si>
  <si>
    <t>真冬の天クロ大鍋奉行</t>
  </si>
  <si>
    <t>まふゆのてんくろおおなべぶぎょう</t>
    <phoneticPr fontId="4"/>
  </si>
  <si>
    <t>(12+?)+(?+?)+(?+?),?,?</t>
    <phoneticPr fontId="4"/>
  </si>
  <si>
    <t>賑々しい冬の湯気</t>
    <phoneticPr fontId="4"/>
  </si>
  <si>
    <t>タイプ知性派・姫の攻40％UP　/　タイプ神秘・飲食の攻30％UP</t>
    <rPh sb="3" eb="5">
      <t>チセイ</t>
    </rPh>
    <rPh sb="5" eb="6">
      <t>ハ</t>
    </rPh>
    <rPh sb="7" eb="8">
      <t>ヒメ</t>
    </rPh>
    <rPh sb="9" eb="10">
      <t>コウ</t>
    </rPh>
    <rPh sb="21" eb="23">
      <t>シンピ</t>
    </rPh>
    <rPh sb="24" eb="26">
      <t>インショク</t>
    </rPh>
    <rPh sb="27" eb="28">
      <t>コウ</t>
    </rPh>
    <phoneticPr fontId="1"/>
  </si>
  <si>
    <t>2017年</t>
    <rPh sb="4" eb="5">
      <t>ネン</t>
    </rPh>
    <phoneticPr fontId="1"/>
  </si>
  <si>
    <t>和モードこれくしょん～東～</t>
  </si>
  <si>
    <t>わもーどこれくしょんひがし</t>
    <phoneticPr fontId="4"/>
  </si>
  <si>
    <t>和～すたんだーど～</t>
    <phoneticPr fontId="4"/>
  </si>
  <si>
    <t>和モードこれくしょん～西～</t>
  </si>
  <si>
    <t>わもーどこれくしょんにし</t>
    <phoneticPr fontId="4"/>
  </si>
  <si>
    <t>和～あれんじ～</t>
    <phoneticPr fontId="4"/>
  </si>
  <si>
    <t>和モードコレクション～翔華～</t>
  </si>
  <si>
    <t>わもーどこれくしょんしょうか</t>
    <phoneticPr fontId="4"/>
  </si>
  <si>
    <t>(12+7)+(10+7)+(12+7)</t>
  </si>
  <si>
    <t>「和」を生み出す伝統衣装</t>
    <phoneticPr fontId="4"/>
  </si>
  <si>
    <t>タイプ名物・姫の防40％UP　/　タイプ偉人・妖怪の防30％UP</t>
  </si>
  <si>
    <t>鬼の酒宴～東～</t>
  </si>
  <si>
    <t>おにのしゅえんひがし</t>
    <phoneticPr fontId="4"/>
  </si>
  <si>
    <t>鬼女のおもてなし</t>
    <phoneticPr fontId="4"/>
  </si>
  <si>
    <t>鬼の酒宴～西～</t>
  </si>
  <si>
    <t>おにのしゅえんにし</t>
    <phoneticPr fontId="4"/>
  </si>
  <si>
    <t>妖鬼大宴会</t>
  </si>
  <si>
    <t>ようきだいえんかい</t>
    <phoneticPr fontId="4"/>
  </si>
  <si>
    <t>鬼たちの祝杯</t>
    <phoneticPr fontId="4"/>
  </si>
  <si>
    <t>タイプ偉人・飲食の攻40％UP　/　タイプ妖怪・名物の攻35％UP</t>
    <rPh sb="3" eb="5">
      <t>イジン</t>
    </rPh>
    <rPh sb="6" eb="8">
      <t>インショク</t>
    </rPh>
    <rPh sb="9" eb="10">
      <t>コウ</t>
    </rPh>
    <rPh sb="21" eb="23">
      <t>ヨウカイ</t>
    </rPh>
    <rPh sb="24" eb="26">
      <t>メイブツ</t>
    </rPh>
    <rPh sb="27" eb="28">
      <t>コウ</t>
    </rPh>
    <phoneticPr fontId="1"/>
  </si>
  <si>
    <t>春告の精霊～東～</t>
  </si>
  <si>
    <t>はるつげのせいれいひがし</t>
    <phoneticPr fontId="4"/>
  </si>
  <si>
    <t>春の息吹き</t>
    <phoneticPr fontId="4"/>
  </si>
  <si>
    <t>タイプ妖怪・名物の防20％DOWN</t>
    <phoneticPr fontId="4"/>
  </si>
  <si>
    <t>春告の精霊～西～</t>
  </si>
  <si>
    <t>はるつげのせいれいにし</t>
    <phoneticPr fontId="4"/>
  </si>
  <si>
    <t>春の芽吹き</t>
    <phoneticPr fontId="4"/>
  </si>
  <si>
    <t>春告とぬくもりの精霊たち</t>
  </si>
  <si>
    <t>はるつげとぬくもりのせいれいたち</t>
    <phoneticPr fontId="4"/>
  </si>
  <si>
    <t>初春の胸騒ぎ</t>
    <phoneticPr fontId="4"/>
  </si>
  <si>
    <t>タイプ偉人・妖怪・名物の防40％DOWN　/　タイプ神秘・知性派・飲食の防15％DOWN</t>
    <rPh sb="3" eb="5">
      <t>イジン</t>
    </rPh>
    <rPh sb="6" eb="8">
      <t>ヨウカイ</t>
    </rPh>
    <rPh sb="9" eb="11">
      <t>メイブツ</t>
    </rPh>
    <rPh sb="12" eb="13">
      <t>ボウ</t>
    </rPh>
    <rPh sb="26" eb="28">
      <t>シンピ</t>
    </rPh>
    <rPh sb="29" eb="31">
      <t>チセイ</t>
    </rPh>
    <rPh sb="31" eb="32">
      <t>ハ</t>
    </rPh>
    <rPh sb="33" eb="35">
      <t>インショク</t>
    </rPh>
    <rPh sb="36" eb="37">
      <t>ボウ</t>
    </rPh>
    <phoneticPr fontId="1"/>
  </si>
  <si>
    <t>東の春姫酔宴</t>
  </si>
  <si>
    <t>ひがしのはるひめすいえん</t>
    <phoneticPr fontId="4"/>
  </si>
  <si>
    <t>桜吹雪と憂い姫</t>
    <phoneticPr fontId="4"/>
  </si>
  <si>
    <t>タイプ【武人】の防30％UP　/　タイプ【伝承】の防10％UP</t>
  </si>
  <si>
    <t>西の春姫酔宴</t>
  </si>
  <si>
    <t>にしのはるひめすいえん</t>
    <phoneticPr fontId="4"/>
  </si>
  <si>
    <t>正室たちの桜狩り</t>
    <phoneticPr fontId="4"/>
  </si>
  <si>
    <t>千紫万紅の春姫酔宴</t>
  </si>
  <si>
    <t>せんしばんこうのはるひめすいえん</t>
    <phoneticPr fontId="4"/>
  </si>
  <si>
    <t>零れ桜と物言う花</t>
    <phoneticPr fontId="4"/>
  </si>
  <si>
    <t>タイプ【武人】の防75％UP　/　タイプ姫・伝承の防20％UP</t>
  </si>
  <si>
    <t>東の招福大祭</t>
  </si>
  <si>
    <t>ひがしのしょうふくたいさい</t>
    <phoneticPr fontId="4"/>
  </si>
  <si>
    <t>日本が誇る山車の饗宴</t>
    <phoneticPr fontId="4"/>
  </si>
  <si>
    <t>タイプ偉人・妖怪の防10％UP　/　タイプ【飲食】の攻12％DOWN</t>
  </si>
  <si>
    <t>西の招福大祭</t>
  </si>
  <si>
    <t>にしのしょうふくたいさい</t>
    <phoneticPr fontId="4"/>
  </si>
  <si>
    <t>幻想と熱狂が彩る祭</t>
    <phoneticPr fontId="4"/>
  </si>
  <si>
    <t>晩春初夏の招福大祭</t>
  </si>
  <si>
    <t>ばんしゅんしょかのしょうふくたいさい</t>
    <phoneticPr fontId="4"/>
  </si>
  <si>
    <t>初夏を熱気に包む大祭</t>
    <phoneticPr fontId="4"/>
  </si>
  <si>
    <t>タイプ偉人・妖怪・名物の防10％UP　/　タイプ神秘・飮食・知性派・姫の攻20％DOWN</t>
  </si>
  <si>
    <t>天クロ歌劇団～絢爛～</t>
  </si>
  <si>
    <t>てんくろかげきだんけんらん</t>
    <phoneticPr fontId="4"/>
  </si>
  <si>
    <t>儚く力強い歌劇</t>
    <phoneticPr fontId="4"/>
  </si>
  <si>
    <t>タイプ妖怪・名物の攻20％UP</t>
    <phoneticPr fontId="4"/>
  </si>
  <si>
    <t>天クロ歌劇団～華麗～</t>
  </si>
  <si>
    <t>てんくろかげきだんかれい</t>
    <phoneticPr fontId="4"/>
  </si>
  <si>
    <t>歴史と伝統の演技力</t>
    <phoneticPr fontId="4"/>
  </si>
  <si>
    <t>天クロ歌劇団～絢爛華麗～</t>
  </si>
  <si>
    <t>てんくろかげきだんけんらんかれい</t>
    <phoneticPr fontId="4"/>
  </si>
  <si>
    <t>舞台を彩るトップスター</t>
    <phoneticPr fontId="4"/>
  </si>
  <si>
    <t>タイプ妖怪・名物の攻45％UP　/　タイプ【偉人】の攻30％UP</t>
  </si>
  <si>
    <t>天クロ連合艦隊～偵察～</t>
  </si>
  <si>
    <t>てんくろれんごうかんたいていさつ</t>
    <phoneticPr fontId="4"/>
  </si>
  <si>
    <t>偵察という名の海水浴</t>
    <phoneticPr fontId="4"/>
  </si>
  <si>
    <t>タイプ【姫】の防12％UP　/　タイプ【武人】の防5％UP</t>
  </si>
  <si>
    <t>天クロ連合艦隊～演習～</t>
  </si>
  <si>
    <t>てんくろれんごうかんたいえんしゅう</t>
    <phoneticPr fontId="4"/>
  </si>
  <si>
    <t>極秘の海上演習</t>
    <phoneticPr fontId="4"/>
  </si>
  <si>
    <t>タイプ【伝承】の防12％UP　/　タイプ【武人】の防5％UP</t>
  </si>
  <si>
    <t>天クロ連合艦隊～決戦～</t>
  </si>
  <si>
    <t>てんくろれんごうかんたいけっせん</t>
    <phoneticPr fontId="4"/>
  </si>
  <si>
    <t>決死の海上戦闘</t>
    <phoneticPr fontId="4"/>
  </si>
  <si>
    <t>タイプ姫・伝承の防20％UP　/　タイプ【武人】の防10％UP</t>
  </si>
  <si>
    <t>味わいの和菓子～東～</t>
  </si>
  <si>
    <t>あじわいのわがしひがし</t>
    <phoneticPr fontId="4"/>
  </si>
  <si>
    <t>お茶会のお供は伝統の和菓子で</t>
    <phoneticPr fontId="4"/>
  </si>
  <si>
    <t>タイプ【神秘】の攻20％UP　/　タイプ【飲食】の攻15％UP</t>
  </si>
  <si>
    <t>味わいの和菓子～西～</t>
  </si>
  <si>
    <t>あじわいのわがしにし</t>
    <phoneticPr fontId="4"/>
  </si>
  <si>
    <t>バカンス☆和菓子モード</t>
    <phoneticPr fontId="4"/>
  </si>
  <si>
    <t>タイプ【知性派】の攻20％UP　/　タイプ【飲食】の攻15％UP</t>
  </si>
  <si>
    <t>味わいの和菓子～極上～</t>
  </si>
  <si>
    <t>あじわいのわがしごくじょう</t>
    <phoneticPr fontId="4"/>
  </si>
  <si>
    <t>和菓子で彩る極上の時間</t>
    <phoneticPr fontId="4"/>
  </si>
  <si>
    <t>タイプ神秘・知性派の攻35％UP　/　タイプ【飲食】の攻20％UP</t>
  </si>
  <si>
    <t>東の天クロミリタリーガール</t>
  </si>
  <si>
    <t>ひがしのてんくろみりたりーがーる</t>
    <phoneticPr fontId="4"/>
  </si>
  <si>
    <t>処7*1</t>
    <rPh sb="0" eb="1">
      <t>ショ</t>
    </rPh>
    <phoneticPr fontId="1"/>
  </si>
  <si>
    <t>猛者たちの遊戯</t>
    <phoneticPr fontId="4"/>
  </si>
  <si>
    <t>タイプ神秘・飲食の防15％UP　/　タイプ【名物】の攻10％DOWN</t>
  </si>
  <si>
    <t>西の天クロミリタリーガール</t>
  </si>
  <si>
    <t>にしのてんくろみりたりーがーる</t>
    <phoneticPr fontId="4"/>
  </si>
  <si>
    <t>処7*2</t>
    <rPh sb="0" eb="1">
      <t>ショ</t>
    </rPh>
    <phoneticPr fontId="4"/>
  </si>
  <si>
    <t>頂点を目指す為の訓練</t>
    <phoneticPr fontId="4"/>
  </si>
  <si>
    <t>タイプ神秘・飲食の防15％UP　/　タイプ【偉人】の攻10％DOWN</t>
  </si>
  <si>
    <t>地上最強の天クロミリタリーガール</t>
  </si>
  <si>
    <t>ちじょうさいきょうのてんくろみりたりーがーる</t>
    <phoneticPr fontId="4"/>
  </si>
  <si>
    <t>(14+竜)+(10+竜)+((12+竜)+(12+竜))</t>
    <rPh sb="4" eb="5">
      <t>リュウ</t>
    </rPh>
    <rPh sb="11" eb="12">
      <t>リュウ</t>
    </rPh>
    <rPh sb="19" eb="20">
      <t>リュウ</t>
    </rPh>
    <rPh sb="26" eb="27">
      <t>リュウ</t>
    </rPh>
    <phoneticPr fontId="1"/>
  </si>
  <si>
    <t>Invincibility☆Girls</t>
    <phoneticPr fontId="4"/>
  </si>
  <si>
    <t>タイプ神秘・知性派・飲食の防35％UP　/　タイプ偉人・妖怪・名物の攻10％DOWN</t>
  </si>
  <si>
    <t>東の天クロ武道会</t>
  </si>
  <si>
    <t>ひがしのてんくろぶどうかい</t>
    <phoneticPr fontId="4"/>
  </si>
  <si>
    <t>処12*1</t>
    <rPh sb="0" eb="1">
      <t>ショ</t>
    </rPh>
    <phoneticPr fontId="4"/>
  </si>
  <si>
    <t>乱れ打つ雷撃の鞭</t>
    <phoneticPr fontId="4"/>
  </si>
  <si>
    <t>タイプ知性派・飲食の攻20％DOWN　/　タイプ【名物】の防10％UP</t>
  </si>
  <si>
    <t>西の天クロ武道会</t>
  </si>
  <si>
    <t>にしのてんくろぶどうかい</t>
    <phoneticPr fontId="4"/>
  </si>
  <si>
    <t>敵を蹴散らす常勝の拳</t>
    <phoneticPr fontId="4"/>
  </si>
  <si>
    <t>タイプ知性派・飲食の攻20％DOWN　/　タイプ【偉人】の防10％UP</t>
  </si>
  <si>
    <t>最強決定戦！天クロ武道会</t>
  </si>
  <si>
    <t>さいきょうけっていせんてんくろぶどうかい</t>
    <phoneticPr fontId="4"/>
  </si>
  <si>
    <t>(14+7)+(10+7)+(12+7)</t>
    <phoneticPr fontId="1"/>
  </si>
  <si>
    <t>最強チームの称号</t>
    <phoneticPr fontId="4"/>
  </si>
  <si>
    <t>タイプ知性派・飲食の攻85％DOWN　/　タイプ偉人・名物の防15％UP</t>
  </si>
  <si>
    <t>天クロ魔法少女～ステッキ～</t>
  </si>
  <si>
    <t>てんくろまほうしょうじょすてっき</t>
    <phoneticPr fontId="4"/>
  </si>
  <si>
    <t>デンジャラスな召喚魔法！？</t>
    <phoneticPr fontId="4"/>
  </si>
  <si>
    <t>タイプ【武人】の攻30％UP　/　タイプ【伝承】の攻10％UP</t>
  </si>
  <si>
    <t>天クロ魔法少女～コンパクト～</t>
  </si>
  <si>
    <t>てんくろまほうしょうじょこんぱくと</t>
    <phoneticPr fontId="4"/>
  </si>
  <si>
    <t>魔法は素敵な贈り物</t>
    <phoneticPr fontId="4"/>
  </si>
  <si>
    <t>天クロ魔法少女大集合</t>
  </si>
  <si>
    <t>てんくろまほうしょうじょだいしゅうごう</t>
    <phoneticPr fontId="4"/>
  </si>
  <si>
    <t>(14+9)+(11+10)+(14+11)</t>
  </si>
  <si>
    <t>救世主☆魔法少女</t>
    <phoneticPr fontId="4"/>
  </si>
  <si>
    <t>タイプ【武人】の攻75％UP　/　タイプ姫・伝承の攻20％UP</t>
  </si>
  <si>
    <t>聖夜の贈り物～リボンを添えて～</t>
  </si>
  <si>
    <t>せいやのおくりものりぼんをそえて</t>
    <phoneticPr fontId="4"/>
  </si>
  <si>
    <t>聖夜に想う気持ちを込めて</t>
    <phoneticPr fontId="4"/>
  </si>
  <si>
    <t>タイプ偉人・妖怪の攻10％UP　/　タイプ【伝承】の防12％DOWN</t>
  </si>
  <si>
    <t>聖夜の贈り物～綺羅と輝く～</t>
  </si>
  <si>
    <t>せいやのおくりものきらとかがやく</t>
    <phoneticPr fontId="4"/>
  </si>
  <si>
    <t>輝きに彩られる特別な聖夜</t>
    <phoneticPr fontId="4"/>
  </si>
  <si>
    <t>聖夜の贈り物～DX～</t>
  </si>
  <si>
    <t>せいやのおくりものでらっくす</t>
    <phoneticPr fontId="4"/>
  </si>
  <si>
    <t>聖夜を笑顔の貴方とともに</t>
    <phoneticPr fontId="4"/>
  </si>
  <si>
    <t>タイプ偉人・妖怪・名物の攻10％UP　/　タイプ武人・姫・伝承・飲食の防20％DOWN</t>
  </si>
  <si>
    <t>2018年</t>
    <rPh sb="4" eb="5">
      <t>ネン</t>
    </rPh>
    <phoneticPr fontId="1"/>
  </si>
  <si>
    <t>氷の国の御伽噺～Princess～</t>
  </si>
  <si>
    <t>こおりのくにのおとぎばなしぷりんせす</t>
  </si>
  <si>
    <t>氷の国に舞う御伽噺の姫君達</t>
  </si>
  <si>
    <t>タイプ姫・伝承の防12％UP　/　タイプ【伝承】の攻10％DOWN</t>
  </si>
  <si>
    <t>氷の国の御伽噺～Queen～</t>
  </si>
  <si>
    <t>こおりのくにのおとぎばなしくいーん</t>
  </si>
  <si>
    <t>氷雪が結ぶ御伽噺の奇妙な縁</t>
  </si>
  <si>
    <t>タイプ武人・伝承の防12％UP　/　タイプ【伝承】の攻10％DOWN</t>
  </si>
  <si>
    <t>決戦！氷の国の御伽噺</t>
  </si>
  <si>
    <t>けっせんこおりのくにのおとぎばなし</t>
  </si>
  <si>
    <t>白銀の世界で紡がれた御伽噺</t>
  </si>
  <si>
    <t>タイプ伝承・武人・姫の防15％UP　/　タイプ神秘・飲食・知性派・伝承の攻15％DOWN</t>
  </si>
  <si>
    <t>天クロ恋愛成就バレンタイン～Cookie～</t>
  </si>
  <si>
    <t>てんくろれんあいじょうじゅばれんたいんくっきー</t>
  </si>
  <si>
    <t>頼れる恋の神サポーター</t>
    <phoneticPr fontId="4"/>
  </si>
  <si>
    <t>タイプ武人・姫の攻20％DOWN　/　タイプ知性派・飲食の防10％UP</t>
  </si>
  <si>
    <t>天クロ恋愛成就バレンタイン～Choco～</t>
  </si>
  <si>
    <t>てんくろれんあいじょうじゅばれんたいんちょこ</t>
  </si>
  <si>
    <t>恋守る神様達の言うとおり</t>
    <phoneticPr fontId="4"/>
  </si>
  <si>
    <t>天クロ恋愛成就バレンタイン～Love～</t>
  </si>
  <si>
    <t>てんくろれんあいじょうじゅばれんたいんらぶ</t>
  </si>
  <si>
    <t>絶対恋愛成就のエール</t>
    <phoneticPr fontId="4"/>
  </si>
  <si>
    <t>タイプ伝承・武人・姫の攻50％DOWN　/　タイプ知性派・飲食の防30％UP</t>
  </si>
  <si>
    <t>今が旬！卵の宴～東～</t>
  </si>
  <si>
    <t>いまがしゅんたまごのうたげひがし</t>
    <phoneticPr fontId="4"/>
  </si>
  <si>
    <t>和洋折衷の卵料理</t>
  </si>
  <si>
    <t>タイプ【神秘】の防20%UP　/　タイプ【飲食】の防15%UP</t>
    <rPh sb="4" eb="6">
      <t>シンピ</t>
    </rPh>
    <rPh sb="8" eb="9">
      <t>ボウ</t>
    </rPh>
    <rPh sb="21" eb="23">
      <t>インショク</t>
    </rPh>
    <rPh sb="25" eb="26">
      <t>ボウ</t>
    </rPh>
    <phoneticPr fontId="1"/>
  </si>
  <si>
    <t>今が旬！卵の宴～西～</t>
  </si>
  <si>
    <t>いまがしゅんたまごのうたげにし</t>
    <phoneticPr fontId="4"/>
  </si>
  <si>
    <t>生卵派と焼き卵派の白熱トーク</t>
  </si>
  <si>
    <t>タイプ【知性派】の防20%UP　/　タイプ【飲食】の防15%UP</t>
    <rPh sb="4" eb="6">
      <t>チセイ</t>
    </rPh>
    <rPh sb="6" eb="7">
      <t>ハ</t>
    </rPh>
    <rPh sb="9" eb="10">
      <t>ボウ</t>
    </rPh>
    <rPh sb="22" eb="24">
      <t>インショク</t>
    </rPh>
    <rPh sb="26" eb="27">
      <t>ボウ</t>
    </rPh>
    <phoneticPr fontId="1"/>
  </si>
  <si>
    <t>食べつくし！今が旬！卵の宴</t>
  </si>
  <si>
    <t>たべつくしいまがしゅんたまごのうたげ</t>
  </si>
  <si>
    <t>(15+9)+(11+10)+(14+12)</t>
    <phoneticPr fontId="4"/>
  </si>
  <si>
    <t>おいしい卵を召し上がれ</t>
  </si>
  <si>
    <t>タイプ神秘・知性派の防35%UP　/　タイプ【飲食】の防20%UP</t>
    <rPh sb="3" eb="5">
      <t>シンピ</t>
    </rPh>
    <rPh sb="6" eb="8">
      <t>チセイ</t>
    </rPh>
    <rPh sb="8" eb="9">
      <t>ハ</t>
    </rPh>
    <rPh sb="10" eb="11">
      <t>ボウ</t>
    </rPh>
    <rPh sb="23" eb="25">
      <t>インショク</t>
    </rPh>
    <rPh sb="27" eb="28">
      <t>ボウ</t>
    </rPh>
    <phoneticPr fontId="1"/>
  </si>
  <si>
    <t>天クロ自警団～東国見廻り～</t>
  </si>
  <si>
    <t>てんくろじけいだんひがしこくみまわり</t>
    <phoneticPr fontId="4"/>
  </si>
  <si>
    <t>正義の一閃</t>
  </si>
  <si>
    <t>タイプ姫・伝承の防20％UP</t>
  </si>
  <si>
    <t>天クロ自警団～西国見廻り～</t>
  </si>
  <si>
    <t>てんくろじけいだんにしこくみまわり</t>
    <phoneticPr fontId="4"/>
  </si>
  <si>
    <t>対刀の心得</t>
  </si>
  <si>
    <t>天クロ自警団～天下泰平～</t>
  </si>
  <si>
    <t>てんくろじけいだんてんかたいへい</t>
    <phoneticPr fontId="4"/>
  </si>
  <si>
    <t>(14+9)+(11+10)+(14+11)</t>
    <phoneticPr fontId="4"/>
  </si>
  <si>
    <t>天クロの四英傑</t>
  </si>
  <si>
    <t>タイプ姫・伝承の防45％UP　/　タイプ【武人】の防30％UP</t>
  </si>
  <si>
    <t>天クロ浮世絵師～東の絵師～</t>
  </si>
  <si>
    <t>てんくろうきよえしひがしのえし</t>
  </si>
  <si>
    <t>娯楽の境地</t>
  </si>
  <si>
    <t>タイプ妖怪・名物の防20％UP</t>
  </si>
  <si>
    <t>天クロ浮世絵師～西の絵師～</t>
  </si>
  <si>
    <t>てんくろうきよえしにしのえし</t>
  </si>
  <si>
    <t>画狂老人と謎の絵師</t>
  </si>
  <si>
    <t>全国</t>
  </si>
  <si>
    <t>天クロ浮世絵師大集合</t>
  </si>
  <si>
    <t>てんくろうきよえしだいしゅうごう</t>
    <phoneticPr fontId="4"/>
  </si>
  <si>
    <t>江戸時代の現代アート</t>
  </si>
  <si>
    <t>タイプ妖怪・名物の防45％UP　/　タイプ【偉人】の防30％UP</t>
  </si>
  <si>
    <t>天クロ盤面上の勝負士～東の一手～</t>
  </si>
  <si>
    <t>てんくろばんめんじょうのしょうぶしひがしのいって</t>
    <phoneticPr fontId="4"/>
  </si>
  <si>
    <t>異盤遊戯</t>
    <phoneticPr fontId="4"/>
  </si>
  <si>
    <t>タイプ神秘・飲食の攻15％UP　/　タイプ【名物】の防10％DOWN</t>
  </si>
  <si>
    <t>天クロ盤面上の勝負士～西の一手～</t>
  </si>
  <si>
    <t>てんくろばんめんじょうのしょうぶしにしのいって</t>
    <phoneticPr fontId="4"/>
  </si>
  <si>
    <t>棋聖不変</t>
    <phoneticPr fontId="4"/>
  </si>
  <si>
    <t>タイプ神秘・飲食の攻15％UP　/　タイプ【偉人】の防10％DOWN</t>
  </si>
  <si>
    <t>天クロ盤面上の勝負士</t>
  </si>
  <si>
    <t>てんくろばんめんじょうのしょうぶし</t>
    <phoneticPr fontId="4"/>
  </si>
  <si>
    <t>明日への一手</t>
    <phoneticPr fontId="4"/>
  </si>
  <si>
    <t>タイプ神秘・知性派・飲食の攻35％UP　/　タイプ偉人・妖怪・名物の防10％DOWN</t>
  </si>
  <si>
    <t>天クロ化ケモノ大集合～東日本～</t>
  </si>
  <si>
    <t>てんくろばけものだいしゅうごうひがしにほん</t>
  </si>
  <si>
    <t>穴の狸の化け算用</t>
    <phoneticPr fontId="4"/>
  </si>
  <si>
    <t>タイプ【名物】の攻15％UP　/　タイプ【姫】の防10％DOWN</t>
  </si>
  <si>
    <t>天クロ化ケモノ大集合～西日本～</t>
  </si>
  <si>
    <t>てんくろばけものだいしゅうごうにしにほん</t>
  </si>
  <si>
    <t>伝説の丘化け</t>
    <phoneticPr fontId="4"/>
  </si>
  <si>
    <t>タイプ【偉人】の攻15％UP　/　タイプ【武人】の防10％DOWN</t>
  </si>
  <si>
    <t>天クロ化ケモノ大集合</t>
  </si>
  <si>
    <t>てんくろばけものだいしゅうごう</t>
    <phoneticPr fontId="4"/>
  </si>
  <si>
    <t>化ケモノ大集合</t>
    <phoneticPr fontId="4"/>
  </si>
  <si>
    <t>タイプ偉人・名物の攻30％UP　/　タイプ武人・姫の防75％DOWN</t>
  </si>
  <si>
    <t>天クロサマーストーリー～東の浜辺～</t>
  </si>
  <si>
    <t>てんくろさまーすとーりーひがしのはまべ</t>
    <phoneticPr fontId="4"/>
  </si>
  <si>
    <t>どちらがお好き？</t>
    <phoneticPr fontId="4"/>
  </si>
  <si>
    <t>天クロサマーストーリー～西の浜辺～</t>
  </si>
  <si>
    <t>てんくろさまーすとーりーにしのはまべ</t>
    <phoneticPr fontId="4"/>
  </si>
  <si>
    <t>潮湯治</t>
    <phoneticPr fontId="4"/>
  </si>
  <si>
    <t>天クロサマーストーリー水着美女の嬌艶</t>
  </si>
  <si>
    <t>てんくろさまーすとーりーみずぎびじょのきょうえん</t>
    <phoneticPr fontId="4"/>
  </si>
  <si>
    <t>(15+竜)+(12+11)+((15+9)+(14+10))</t>
    <rPh sb="4" eb="5">
      <t>リュウ</t>
    </rPh>
    <phoneticPr fontId="4"/>
  </si>
  <si>
    <t>浜辺美女の乱</t>
    <phoneticPr fontId="4"/>
  </si>
  <si>
    <t>タイプ【武人】の防75％UP　/　タイプ姫・伝承の防25％UP</t>
  </si>
  <si>
    <t>天クロパワースポット～東の島々～</t>
  </si>
  <si>
    <t>てんくろぱわーすぽっとひがしのしまじま</t>
    <phoneticPr fontId="4"/>
  </si>
  <si>
    <t>雄大な景観</t>
    <phoneticPr fontId="4"/>
  </si>
  <si>
    <t>タイプ偉人・妖怪の攻10％UP　/　タイプ【飲食】の防12％DOWN</t>
  </si>
  <si>
    <t>天クロパワースポット～西の島々～</t>
  </si>
  <si>
    <t>てんくろぱわーすぽっとにしのしまじま</t>
    <phoneticPr fontId="4"/>
  </si>
  <si>
    <t>ノスタルジックな大自然</t>
    <phoneticPr fontId="4"/>
  </si>
  <si>
    <t>天クロパワースポット日本の楽園</t>
  </si>
  <si>
    <t>てんくろぱわーすぽっとにほんのらくえん</t>
    <phoneticPr fontId="4"/>
  </si>
  <si>
    <t>(16+竜)+(13+10)+((15+9)+(14+13))</t>
    <rPh sb="4" eb="5">
      <t>リュウ</t>
    </rPh>
    <phoneticPr fontId="4"/>
  </si>
  <si>
    <t>最後の楽園</t>
    <phoneticPr fontId="4"/>
  </si>
  <si>
    <t>タイプ偉人・妖怪・名物の攻10％UP　/　タイプ妖怪・名物・偉人・知性派の防20％DOWN</t>
  </si>
  <si>
    <t>其の武具を手に～東の方～</t>
  </si>
  <si>
    <t>そのぶぐをてにひがしのかた</t>
  </si>
  <si>
    <t>祝撃必中</t>
    <phoneticPr fontId="4"/>
  </si>
  <si>
    <t>タイプ姫・伝承の攻12％UP　/　タイプ【伝承】の防10％DOWN</t>
  </si>
  <si>
    <t>其の武具を手に～西の方～</t>
  </si>
  <si>
    <t>そのぶぐをてににしのかた</t>
  </si>
  <si>
    <t>不敗の名刀</t>
    <phoneticPr fontId="4"/>
  </si>
  <si>
    <t>タイプ武人・伝承の攻12％UP　/　タイプ【伝承】の防10％DOWN</t>
  </si>
  <si>
    <t>其の武具を手に～天下の逸品～</t>
  </si>
  <si>
    <t>そのぶぐをてにてんかのいっぴん</t>
  </si>
  <si>
    <t>(15+9)+(13+10)+(14+12)</t>
    <phoneticPr fontId="4"/>
  </si>
  <si>
    <t>君が為め</t>
    <phoneticPr fontId="4"/>
  </si>
  <si>
    <t>タイプ伝承・武人・姫の攻15％UP　/　タイプ神秘・飲食・知性派・伝承の防15％DOWN</t>
  </si>
  <si>
    <t>天クロフェアリーズ～東の妖精達～</t>
  </si>
  <si>
    <t>てんくろふぇありーずひがしのようせいたち</t>
  </si>
  <si>
    <t>悪戯パスタは魅惑のお味</t>
    <phoneticPr fontId="4"/>
  </si>
  <si>
    <t>タイプ武人・姫の防20％DOWN　/　タイプ知性派・飲食の攻10％UP</t>
  </si>
  <si>
    <t>天クロフェアリーズ～西の妖精達～</t>
  </si>
  <si>
    <t>てんくろふぇありーずにしのようせいたち</t>
  </si>
  <si>
    <t>笑顔をお届け</t>
    <phoneticPr fontId="4"/>
  </si>
  <si>
    <t>天クロフェアリーズ～魅惑の妖精達～</t>
  </si>
  <si>
    <t>てんくろふぇありーずみわくのようせいたち</t>
  </si>
  <si>
    <t>(16+竜)+(13+10)+(15+9)+(14+13)</t>
    <rPh sb="4" eb="5">
      <t>リュウ</t>
    </rPh>
    <phoneticPr fontId="4"/>
  </si>
  <si>
    <t>にっぽんスイーツパラダイス♪</t>
    <phoneticPr fontId="4"/>
  </si>
  <si>
    <t>タイプ伝承・武人・姫の防50％DOWN　/　タイプ知性派・飲食の攻30％UP</t>
  </si>
  <si>
    <t>特選！フルーツ盛り合わせ～東のフルーツ～</t>
  </si>
  <si>
    <t>とくせんふるーつもりあわせひがしのふるーつ</t>
  </si>
  <si>
    <t>ジューシースプラッシュ！</t>
    <phoneticPr fontId="4"/>
  </si>
  <si>
    <t>特選！フルーツ盛り合わせ～西のフルーツ～</t>
  </si>
  <si>
    <t>とくせんふるーつもりあわせにしのふるーつ</t>
  </si>
  <si>
    <t>甘酸っぱさで初恋気分！？</t>
    <phoneticPr fontId="4"/>
  </si>
  <si>
    <t>特選！フルーツ盛り合わせ～大集合～</t>
  </si>
  <si>
    <t>とくせんふるーつもりあわせだいしゅうごう</t>
  </si>
  <si>
    <t>特選フルーツ大集合！</t>
    <phoneticPr fontId="4"/>
  </si>
  <si>
    <t>出自不明</t>
    <rPh sb="0" eb="2">
      <t>シュツジ</t>
    </rPh>
    <rPh sb="2" eb="4">
      <t>フメイ</t>
    </rPh>
    <phoneticPr fontId="1"/>
  </si>
  <si>
    <t>？</t>
  </si>
  <si>
    <t>フルーツ盛り合わせ?</t>
  </si>
  <si>
    <t>ふるーつもりあわせ?</t>
    <phoneticPr fontId="4"/>
  </si>
  <si>
    <t>天クロ宝石コレクション</t>
  </si>
  <si>
    <t>てんくろほうせきこれくしょん</t>
    <phoneticPr fontId="4"/>
  </si>
  <si>
    <t>輝き続けた日本の宝石達</t>
    <rPh sb="0" eb="1">
      <t>カガヤ</t>
    </rPh>
    <rPh sb="2" eb="3">
      <t>ツヅ</t>
    </rPh>
    <rPh sb="5" eb="7">
      <t>ニホン</t>
    </rPh>
    <rPh sb="8" eb="10">
      <t>ホウセキ</t>
    </rPh>
    <rPh sb="10" eb="11">
      <t>タチ</t>
    </rPh>
    <phoneticPr fontId="4"/>
  </si>
  <si>
    <t>タイプ偉人・妖怪の防40%UP　/　タイプ【名物】の防12%UP</t>
    <rPh sb="3" eb="5">
      <t>イジン</t>
    </rPh>
    <rPh sb="6" eb="8">
      <t>ヨウカイ</t>
    </rPh>
    <rPh sb="9" eb="10">
      <t>ボウ</t>
    </rPh>
    <rPh sb="22" eb="24">
      <t>メイブツ</t>
    </rPh>
    <rPh sb="26" eb="27">
      <t>ボウ</t>
    </rPh>
    <phoneticPr fontId="4"/>
  </si>
  <si>
    <t>東のソフトちゃんず</t>
  </si>
  <si>
    <t>ひがしのそふとちゃんず</t>
    <phoneticPr fontId="4"/>
  </si>
  <si>
    <t>処7*1</t>
    <rPh sb="0" eb="1">
      <t>トコロ</t>
    </rPh>
    <phoneticPr fontId="1"/>
  </si>
  <si>
    <t>赤白緑のうずまきパーティ</t>
    <phoneticPr fontId="4"/>
  </si>
  <si>
    <t>タイプ偉人・姫の防20％UP</t>
    <phoneticPr fontId="4"/>
  </si>
  <si>
    <t>西のソフトちゃんず</t>
  </si>
  <si>
    <t>にしのそふとちゃんず</t>
    <phoneticPr fontId="4"/>
  </si>
  <si>
    <t>ソフトクリームちゃんず</t>
  </si>
  <si>
    <t>そふとくりーむちゃんず</t>
    <phoneticPr fontId="4"/>
  </si>
  <si>
    <t>虹色セクスタプルツイスト</t>
    <rPh sb="0" eb="2">
      <t>ニジイロ</t>
    </rPh>
    <phoneticPr fontId="4"/>
  </si>
  <si>
    <t>タイプ偉人・姫・神秘・知性派の防30%UP　/　タイプ【飲食】の防20%UP</t>
    <rPh sb="3" eb="5">
      <t>イジン</t>
    </rPh>
    <rPh sb="6" eb="7">
      <t>ヒメ</t>
    </rPh>
    <rPh sb="8" eb="10">
      <t>シンピ</t>
    </rPh>
    <rPh sb="11" eb="13">
      <t>チセイ</t>
    </rPh>
    <rPh sb="13" eb="14">
      <t>ハ</t>
    </rPh>
    <rPh sb="15" eb="16">
      <t>ボウ</t>
    </rPh>
    <rPh sb="28" eb="30">
      <t>インショク</t>
    </rPh>
    <rPh sb="32" eb="33">
      <t>ボウ</t>
    </rPh>
    <phoneticPr fontId="4"/>
  </si>
  <si>
    <t>不思議の国～夢</t>
  </si>
  <si>
    <t>ふしぎのくにゆめ</t>
    <phoneticPr fontId="4"/>
  </si>
  <si>
    <t>不思議の国～遊</t>
  </si>
  <si>
    <t>ふしぎのくにあそび</t>
    <phoneticPr fontId="4"/>
  </si>
  <si>
    <t>処8*1</t>
    <rPh sb="0" eb="1">
      <t>トコロ</t>
    </rPh>
    <phoneticPr fontId="1"/>
  </si>
  <si>
    <t>チェス盤の国の女王</t>
    <phoneticPr fontId="4"/>
  </si>
  <si>
    <t>タイプ【武人】の攻30％UP</t>
    <phoneticPr fontId="4"/>
  </si>
  <si>
    <t>よりどりスイーツちゃんず?</t>
  </si>
  <si>
    <t>よりどりすいーつちゃんず？</t>
    <phoneticPr fontId="4"/>
  </si>
  <si>
    <t>世界の妖精</t>
  </si>
  <si>
    <t>せかいのようせい</t>
    <phoneticPr fontId="4"/>
  </si>
  <si>
    <t>英国のフェアリーテイル</t>
    <rPh sb="0" eb="2">
      <t>エイコク</t>
    </rPh>
    <phoneticPr fontId="4"/>
  </si>
  <si>
    <t>タイプ飲食・知性派・妖怪の防40%UP　/　タイプ【神秘】の防20%UP</t>
    <rPh sb="3" eb="5">
      <t>インショク</t>
    </rPh>
    <rPh sb="6" eb="8">
      <t>チセイ</t>
    </rPh>
    <rPh sb="8" eb="9">
      <t>ハ</t>
    </rPh>
    <rPh sb="10" eb="12">
      <t>ヨウカイ</t>
    </rPh>
    <rPh sb="13" eb="14">
      <t>ボウ</t>
    </rPh>
    <rPh sb="26" eb="28">
      <t>シンピ</t>
    </rPh>
    <rPh sb="30" eb="31">
      <t>ボウ</t>
    </rPh>
    <phoneticPr fontId="4"/>
  </si>
  <si>
    <t>恋するプリンセス?</t>
  </si>
  <si>
    <t>こいするぷりんせす?</t>
    <phoneticPr fontId="4"/>
  </si>
  <si>
    <t>天クロガチャ合体SR</t>
    <rPh sb="0" eb="1">
      <t>テン</t>
    </rPh>
    <rPh sb="6" eb="8">
      <t>ガッタイ</t>
    </rPh>
    <phoneticPr fontId="4"/>
  </si>
  <si>
    <t>剣豪列伝 ～東～</t>
  </si>
  <si>
    <t>けんごうれつでんひがし</t>
    <phoneticPr fontId="4"/>
  </si>
  <si>
    <t>練磨絶やさぬ剣術の開祖</t>
    <phoneticPr fontId="4"/>
  </si>
  <si>
    <t>タイプ姫・伝承の攻20％UP</t>
    <phoneticPr fontId="4"/>
  </si>
  <si>
    <t>剣豪列伝 ～西～</t>
  </si>
  <si>
    <t>けんごうれつでんにし</t>
    <phoneticPr fontId="4"/>
  </si>
  <si>
    <t>処11*1,12*3</t>
    <rPh sb="0" eb="1">
      <t>ショ</t>
    </rPh>
    <phoneticPr fontId="4"/>
  </si>
  <si>
    <t>剣聖より継ぎし奥伝の太刀</t>
    <phoneticPr fontId="4"/>
  </si>
  <si>
    <t>日本剣豪列伝</t>
  </si>
  <si>
    <t>にほんけんごうれつでん</t>
    <phoneticPr fontId="4"/>
  </si>
  <si>
    <t>(12+11)+(12+竜)+(12+11)</t>
    <rPh sb="12" eb="13">
      <t>リュウ</t>
    </rPh>
    <phoneticPr fontId="4"/>
  </si>
  <si>
    <t>日本剣術の夜明け</t>
    <phoneticPr fontId="4"/>
  </si>
  <si>
    <t>タイプ姫・伝承の攻30%UP</t>
    <rPh sb="3" eb="4">
      <t>ヒメ</t>
    </rPh>
    <rPh sb="5" eb="7">
      <t>デンショウ</t>
    </rPh>
    <rPh sb="8" eb="9">
      <t>コウ</t>
    </rPh>
    <phoneticPr fontId="4"/>
  </si>
  <si>
    <t>ブラックバレンタイン</t>
  </si>
  <si>
    <t>ほわいとばれんたいん</t>
    <phoneticPr fontId="4"/>
  </si>
  <si>
    <t>ほろ苦ブラックチョコ</t>
    <phoneticPr fontId="4"/>
  </si>
  <si>
    <t>タイプ【神秘】の防30％UP</t>
    <phoneticPr fontId="4"/>
  </si>
  <si>
    <t>ホワイトバレンタイン</t>
  </si>
  <si>
    <t>ぶらっくばれんたいん</t>
    <phoneticPr fontId="4"/>
  </si>
  <si>
    <t>あまあまスイートチョコ</t>
    <phoneticPr fontId="4"/>
  </si>
  <si>
    <t>【2016】バレンタインちゃんず</t>
  </si>
  <si>
    <t>にせんじゅうろくばれんたいんちゃんず</t>
    <phoneticPr fontId="4"/>
  </si>
  <si>
    <t>(11+7)</t>
    <phoneticPr fontId="4"/>
  </si>
  <si>
    <t>甘苦チョコレートパーティー</t>
    <phoneticPr fontId="4"/>
  </si>
  <si>
    <t>タイプ偉人・神秘の防50%UP　/　タイプ知性派・飲食の防25%UP</t>
    <rPh sb="3" eb="5">
      <t>イジン</t>
    </rPh>
    <rPh sb="6" eb="8">
      <t>シンピ</t>
    </rPh>
    <rPh sb="9" eb="10">
      <t>ボウ</t>
    </rPh>
    <rPh sb="21" eb="23">
      <t>チセイ</t>
    </rPh>
    <rPh sb="23" eb="24">
      <t>ハ</t>
    </rPh>
    <rPh sb="25" eb="27">
      <t>インショク</t>
    </rPh>
    <rPh sb="28" eb="29">
      <t>ボウ</t>
    </rPh>
    <phoneticPr fontId="4"/>
  </si>
  <si>
    <t>百鬼夜行 ～怪～</t>
  </si>
  <si>
    <t>ひゃっきやこうかい</t>
    <phoneticPr fontId="4"/>
  </si>
  <si>
    <t>怪異が闇を闊歩する</t>
    <phoneticPr fontId="4"/>
  </si>
  <si>
    <t>百鬼夜行 ～畏～</t>
  </si>
  <si>
    <t>ひゃっきやこうおそれ</t>
    <phoneticPr fontId="4"/>
  </si>
  <si>
    <t>処8*1,11*1,12*1</t>
    <rPh sb="0" eb="1">
      <t>ショ</t>
    </rPh>
    <phoneticPr fontId="4"/>
  </si>
  <si>
    <t>異形が夜を練り歩く</t>
    <phoneticPr fontId="4"/>
  </si>
  <si>
    <t>タイプ名物・武人の防20％UP</t>
    <phoneticPr fontId="4"/>
  </si>
  <si>
    <t>図画百鬼夜行絵巻</t>
  </si>
  <si>
    <t>がずひゃっきやこうえまき</t>
    <phoneticPr fontId="4"/>
  </si>
  <si>
    <t>(15+11)+(12+11)+((14+12)+(13+12)),(12+7)</t>
    <phoneticPr fontId="4"/>
  </si>
  <si>
    <t>魍魎を統べる絵師</t>
    <phoneticPr fontId="4"/>
  </si>
  <si>
    <t>タイプ名物・偉人・神秘の防40％UP　/　タイプ妖怪・武人・姫・伝承の防15％UP</t>
  </si>
  <si>
    <t>伊賀ノ忍 ～焔～</t>
  </si>
  <si>
    <t>いがのしのびほむら</t>
    <phoneticPr fontId="4"/>
  </si>
  <si>
    <t>姿を見せぬ忍の者</t>
    <phoneticPr fontId="4"/>
  </si>
  <si>
    <t>タイプ【神秘】の攻30％UP</t>
    <phoneticPr fontId="4"/>
  </si>
  <si>
    <t>伊賀ノ忍 ～疾～</t>
  </si>
  <si>
    <t>いがのしのびはやて</t>
    <phoneticPr fontId="4"/>
  </si>
  <si>
    <t>処11*3,12*1</t>
    <rPh sb="0" eb="1">
      <t>ショ</t>
    </rPh>
    <phoneticPr fontId="4"/>
  </si>
  <si>
    <t>闇に溶け込む忍の者</t>
    <phoneticPr fontId="4"/>
  </si>
  <si>
    <t>伊賀忍法帖</t>
  </si>
  <si>
    <t>いがにんぽうちょう</t>
    <phoneticPr fontId="4"/>
  </si>
  <si>
    <t>(12+11)+(11+9)+((12+8)+(11+11)),(11+11)</t>
    <phoneticPr fontId="4"/>
  </si>
  <si>
    <t>正心第一の心得</t>
    <phoneticPr fontId="4"/>
  </si>
  <si>
    <t>タイプ【神秘】の攻50％UP　/　タイプ飲食・知性派・姫・伝承の攻25％UP</t>
  </si>
  <si>
    <t>東日本</t>
    <phoneticPr fontId="4"/>
  </si>
  <si>
    <t>天クロアニマル伝説～東～</t>
  </si>
  <si>
    <t>てんくろあにまるでんせつひがし</t>
    <phoneticPr fontId="4"/>
  </si>
  <si>
    <t>処11*2,12*3</t>
    <rPh sb="0" eb="1">
      <t>ショ</t>
    </rPh>
    <phoneticPr fontId="4"/>
  </si>
  <si>
    <t>兎と狸のお囃子合戦</t>
    <phoneticPr fontId="4"/>
  </si>
  <si>
    <t>タイプ【武人】の防30％UP</t>
    <phoneticPr fontId="4"/>
  </si>
  <si>
    <t>天クロアニマル伝説～西～</t>
  </si>
  <si>
    <t>てんくろあにまるでんせつにし</t>
    <phoneticPr fontId="4"/>
  </si>
  <si>
    <t>猫と狐は茶飲み友達</t>
    <phoneticPr fontId="4"/>
  </si>
  <si>
    <t>天クロアニマル伝説</t>
  </si>
  <si>
    <t>てんくろあにまるでんせつ</t>
    <phoneticPr fontId="4"/>
  </si>
  <si>
    <t>(13+?)+(?+?)+(?+?),(11+8),(11+8),(11+11)</t>
    <phoneticPr fontId="4"/>
  </si>
  <si>
    <t>森羅万象の動物絵巻</t>
    <phoneticPr fontId="4"/>
  </si>
  <si>
    <t>タイプ武人・知性派の防50％UP　/　タイプ姫・伝承の防30％UP</t>
  </si>
  <si>
    <t>天クロ和の奏～東～</t>
  </si>
  <si>
    <t>てんくろわのかなでひがし</t>
    <phoneticPr fontId="4"/>
  </si>
  <si>
    <t>処8*1,11*2</t>
    <rPh sb="0" eb="1">
      <t>ショ</t>
    </rPh>
    <phoneticPr fontId="4"/>
  </si>
  <si>
    <t>親しまれる弦楽器</t>
    <phoneticPr fontId="4"/>
  </si>
  <si>
    <t>タイプ妖怪・知性派の防20％UP</t>
    <phoneticPr fontId="4"/>
  </si>
  <si>
    <t>天クロ和の奏～西～</t>
  </si>
  <si>
    <t>てんくろわのかなでにし</t>
    <phoneticPr fontId="4"/>
  </si>
  <si>
    <t>艶やかな京の華</t>
    <phoneticPr fontId="4"/>
  </si>
  <si>
    <t>タイプ知性派・偉人の防20％UP</t>
    <phoneticPr fontId="4"/>
  </si>
  <si>
    <t>天クロ和の奏～天王山～</t>
  </si>
  <si>
    <t>てんくろわのかなでてんのうざん</t>
    <phoneticPr fontId="4"/>
  </si>
  <si>
    <t>(12+11)+(11+11)+(12+11)</t>
    <phoneticPr fontId="4"/>
  </si>
  <si>
    <t>伝統の音色と踊り</t>
    <phoneticPr fontId="4"/>
  </si>
  <si>
    <t>タイプ偉人・妖怪・知性派の防40％UP　/　タイプ【名物】の防30％UP</t>
    <rPh sb="3" eb="5">
      <t>イジン</t>
    </rPh>
    <rPh sb="6" eb="8">
      <t>ヨウカイ</t>
    </rPh>
    <rPh sb="9" eb="11">
      <t>チセイ</t>
    </rPh>
    <rPh sb="11" eb="12">
      <t>ハ</t>
    </rPh>
    <rPh sb="13" eb="14">
      <t>ボウ</t>
    </rPh>
    <rPh sb="26" eb="28">
      <t>メイブツ</t>
    </rPh>
    <rPh sb="30" eb="31">
      <t>ボウ</t>
    </rPh>
    <phoneticPr fontId="4"/>
  </si>
  <si>
    <t>天クロ鉄砲隊～東軍～</t>
  </si>
  <si>
    <t>てんくろてっぽうたいとうぐん</t>
    <phoneticPr fontId="4"/>
  </si>
  <si>
    <t>火縄銃から始まる近代戦</t>
    <phoneticPr fontId="4"/>
  </si>
  <si>
    <t>タイプ姫・伝承の防20％UP</t>
    <phoneticPr fontId="4"/>
  </si>
  <si>
    <t>天クロ鉄砲隊～西軍～</t>
  </si>
  <si>
    <t>てんくろてっぽうたいせいぐん</t>
    <phoneticPr fontId="4"/>
  </si>
  <si>
    <t>処11*1</t>
    <rPh sb="0" eb="1">
      <t>ショ</t>
    </rPh>
    <phoneticPr fontId="4"/>
  </si>
  <si>
    <t>鉄砲伝来による戦の変遷</t>
    <phoneticPr fontId="4"/>
  </si>
  <si>
    <t>天クロ鉄砲隊</t>
  </si>
  <si>
    <t>てんくろてっぽうたい</t>
    <phoneticPr fontId="4"/>
  </si>
  <si>
    <t>(12+8)(↑3進後(17+12))+(12+11)+((12+11)+(12+11))</t>
    <rPh sb="9" eb="10">
      <t>シン</t>
    </rPh>
    <rPh sb="10" eb="11">
      <t>ゴ</t>
    </rPh>
    <phoneticPr fontId="4"/>
  </si>
  <si>
    <t>火縄銃の威力誇示</t>
    <phoneticPr fontId="4"/>
  </si>
  <si>
    <t>タイプ姫・伝承の防30％UP　/　タイプ伝承・武人・姫の攻10％DOWN</t>
  </si>
  <si>
    <t>2016お祭り屋台ちゃんず～東～</t>
  </si>
  <si>
    <t>にせんじゅうろくおまつりやたいちゃんずひがし</t>
    <phoneticPr fontId="4"/>
  </si>
  <si>
    <t>東の屋台グルメ</t>
    <phoneticPr fontId="4"/>
  </si>
  <si>
    <t>2016お祭り屋台ちゃんず～西～</t>
  </si>
  <si>
    <t>にせんじゅうろくおまつりやたいちゃんずにし</t>
    <phoneticPr fontId="4"/>
  </si>
  <si>
    <t>西の屋台グルメ</t>
    <phoneticPr fontId="4"/>
  </si>
  <si>
    <t>2016お祭り屋台ちゃんず</t>
  </si>
  <si>
    <t>にせんじゅうろくおまつりやたいちゃんず</t>
    <phoneticPr fontId="4"/>
  </si>
  <si>
    <t>(14+11)+(11+8)+((12+8)+(11+11)),(12+8),(12+11)</t>
    <phoneticPr fontId="4"/>
  </si>
  <si>
    <t>暑さ吹き飛ぶ屋台の味わい</t>
    <phoneticPr fontId="4"/>
  </si>
  <si>
    <t>タイプ神秘・姫の攻50％UP　/　タイプ知性派・飲食の攻30％UP</t>
  </si>
  <si>
    <t>天狗の山～東～</t>
  </si>
  <si>
    <t>てんぐのやまひがし</t>
    <phoneticPr fontId="4"/>
  </si>
  <si>
    <t>妖怪変化の天狗道</t>
    <phoneticPr fontId="4"/>
  </si>
  <si>
    <t>タイプ名物・伝承の防20％UP</t>
    <phoneticPr fontId="4"/>
  </si>
  <si>
    <t>天狗の山～西～</t>
  </si>
  <si>
    <t>てんぐのやまにし</t>
    <phoneticPr fontId="4"/>
  </si>
  <si>
    <t>鼻高々の天狗道</t>
    <phoneticPr fontId="4"/>
  </si>
  <si>
    <t>タイプ偉人・伝承の防20％UP</t>
    <phoneticPr fontId="4"/>
  </si>
  <si>
    <t>天狗の山～大和妖怪～</t>
  </si>
  <si>
    <t>てんぐのやまやまとようかい</t>
    <phoneticPr fontId="4"/>
  </si>
  <si>
    <t>(11+8)(↑3進後(14+12))+(11+8)+(11+8)</t>
    <phoneticPr fontId="4"/>
  </si>
  <si>
    <t>人にて人ならずもの</t>
    <phoneticPr fontId="4"/>
  </si>
  <si>
    <t>タイプ偉人・名物・伝承の防50%UP　/　タイプ【妖怪】の防30%UP</t>
    <rPh sb="3" eb="5">
      <t>イジン</t>
    </rPh>
    <rPh sb="6" eb="8">
      <t>メイブツ</t>
    </rPh>
    <rPh sb="9" eb="11">
      <t>デンショウ</t>
    </rPh>
    <rPh sb="12" eb="13">
      <t>ボウ</t>
    </rPh>
    <rPh sb="25" eb="27">
      <t>ヨウカイ</t>
    </rPh>
    <rPh sb="29" eb="30">
      <t>ボウ</t>
    </rPh>
    <phoneticPr fontId="4"/>
  </si>
  <si>
    <t>法貨の肖像～東～</t>
  </si>
  <si>
    <t>ほうかのしょうぞうひがし</t>
    <phoneticPr fontId="4"/>
  </si>
  <si>
    <t>処8*2,11*1,12*2</t>
    <rPh sb="0" eb="1">
      <t>ショ</t>
    </rPh>
    <phoneticPr fontId="4"/>
  </si>
  <si>
    <t>近代日本の写し鑑</t>
    <phoneticPr fontId="4"/>
  </si>
  <si>
    <t>タイプ姫・妖怪の攻20％UP</t>
    <phoneticPr fontId="4"/>
  </si>
  <si>
    <t>法貨の肖像～西～</t>
  </si>
  <si>
    <t>ほうかのしょうぞうにし</t>
    <phoneticPr fontId="4"/>
  </si>
  <si>
    <t>近代日本を支えた礎</t>
    <phoneticPr fontId="4"/>
  </si>
  <si>
    <t>法貨の肖像</t>
  </si>
  <si>
    <t>ほうかのしょうぞう</t>
    <phoneticPr fontId="4"/>
  </si>
  <si>
    <t>(12+11)+(11+8)+(12+12)</t>
    <phoneticPr fontId="4"/>
  </si>
  <si>
    <t>日本銀行券の絵姿</t>
    <phoneticPr fontId="4"/>
  </si>
  <si>
    <t>タイプ姫・妖怪の攻50%UP　/　タイプ偉人・名物の攻30%UP</t>
    <rPh sb="3" eb="4">
      <t>ヒメ</t>
    </rPh>
    <rPh sb="5" eb="7">
      <t>ヨウカイ</t>
    </rPh>
    <rPh sb="8" eb="9">
      <t>コウ</t>
    </rPh>
    <rPh sb="20" eb="22">
      <t>イジン</t>
    </rPh>
    <rPh sb="23" eb="25">
      <t>メイブツ</t>
    </rPh>
    <rPh sb="26" eb="27">
      <t>コウ</t>
    </rPh>
    <phoneticPr fontId="4"/>
  </si>
  <si>
    <t>天クロX’mas～雪～</t>
  </si>
  <si>
    <t>てんくろくりすますゆき</t>
    <phoneticPr fontId="4"/>
  </si>
  <si>
    <t>処11*4,12*4</t>
    <rPh sb="0" eb="1">
      <t>ショ</t>
    </rPh>
    <phoneticPr fontId="4"/>
  </si>
  <si>
    <t>幻想のクリスマス</t>
    <phoneticPr fontId="4"/>
  </si>
  <si>
    <t>天クロX’mas～灯～</t>
  </si>
  <si>
    <t>てんくろくりすますあかり</t>
    <phoneticPr fontId="4"/>
  </si>
  <si>
    <t>御伽のクリスマス</t>
    <phoneticPr fontId="4"/>
  </si>
  <si>
    <t>天クロX’masストーリー</t>
  </si>
  <si>
    <t>てんくろくりすますすとーりー</t>
    <phoneticPr fontId="4"/>
  </si>
  <si>
    <t>(12+8)+(11+11)+((12+11)+(12+11))</t>
    <phoneticPr fontId="4"/>
  </si>
  <si>
    <t>魅惑のクリスマスナイト</t>
    <phoneticPr fontId="4"/>
  </si>
  <si>
    <t>タイプ武人・姫・名物・偉人の攻40％UP　/　タイプ【伝承】の攻35％UP</t>
  </si>
  <si>
    <t>駆け出しサンタと黒のルドルフ</t>
  </si>
  <si>
    <t>かけだしさんたとくろのるどるふ</t>
    <phoneticPr fontId="4"/>
  </si>
  <si>
    <t>爆走クリスマス</t>
    <phoneticPr fontId="4"/>
  </si>
  <si>
    <t>タイプ偉人・妖怪の攻20％UP</t>
    <phoneticPr fontId="4"/>
  </si>
  <si>
    <t>見習いサンタと赤のルドルフ</t>
  </si>
  <si>
    <t>みならいさんたとあかのるどるふ</t>
    <phoneticPr fontId="4"/>
  </si>
  <si>
    <t>暴走クリスマス</t>
    <phoneticPr fontId="4"/>
  </si>
  <si>
    <t>爆走ヤングサンタ～赤鼻のトナカイ</t>
  </si>
  <si>
    <t>ばくそうやんぐさんたあかはなのとなかい</t>
    <phoneticPr fontId="4"/>
  </si>
  <si>
    <t>(18+竜)+(14+竜)+((17+竜)+(14+竜))</t>
    <rPh sb="4" eb="5">
      <t>リュウ</t>
    </rPh>
    <rPh sb="11" eb="12">
      <t>リュウ</t>
    </rPh>
    <rPh sb="19" eb="20">
      <t>リュウ</t>
    </rPh>
    <rPh sb="26" eb="27">
      <t>リュウ</t>
    </rPh>
    <phoneticPr fontId="4"/>
  </si>
  <si>
    <t>猪突猛進疾走聖夜</t>
    <rPh sb="0" eb="2">
      <t>チョトツ</t>
    </rPh>
    <rPh sb="2" eb="4">
      <t>モウシン</t>
    </rPh>
    <rPh sb="4" eb="6">
      <t>シッソウ</t>
    </rPh>
    <rPh sb="6" eb="8">
      <t>セイヤ</t>
    </rPh>
    <phoneticPr fontId="4"/>
  </si>
  <si>
    <t>タイプ偉人・妖怪・名物の攻30%UP　/　タイプ神秘・知性派・飲食の防40%DOWN</t>
    <rPh sb="3" eb="5">
      <t>イジン</t>
    </rPh>
    <rPh sb="6" eb="8">
      <t>ヨウカイ</t>
    </rPh>
    <rPh sb="9" eb="11">
      <t>メイブツ</t>
    </rPh>
    <rPh sb="12" eb="13">
      <t>コウ</t>
    </rPh>
    <rPh sb="24" eb="26">
      <t>シンピ</t>
    </rPh>
    <rPh sb="27" eb="29">
      <t>チセイ</t>
    </rPh>
    <rPh sb="29" eb="30">
      <t>ハ</t>
    </rPh>
    <rPh sb="31" eb="33">
      <t>インショク</t>
    </rPh>
    <rPh sb="34" eb="35">
      <t>ボウ</t>
    </rPh>
    <phoneticPr fontId="4"/>
  </si>
  <si>
    <t>【2017】おせちGIRL’s～東～</t>
  </si>
  <si>
    <t>にせんじゅうななおせちがーるずひがし</t>
    <phoneticPr fontId="4"/>
  </si>
  <si>
    <t>処12*2,11*1</t>
    <rPh sb="0" eb="1">
      <t>トコロ</t>
    </rPh>
    <phoneticPr fontId="1"/>
  </si>
  <si>
    <t>キャビアはお節に入りますか</t>
    <phoneticPr fontId="4"/>
  </si>
  <si>
    <t>【2017】おせちGIRL’s～西～</t>
  </si>
  <si>
    <t>にせんじゅうななおせちがーるずにし</t>
    <phoneticPr fontId="4"/>
  </si>
  <si>
    <t>最高級の甲殻類</t>
    <phoneticPr fontId="4"/>
  </si>
  <si>
    <t>【2017】最高級おせちGIRL's</t>
  </si>
  <si>
    <t>にせんじゅうななさいこうきゅうおせちがーるず</t>
    <phoneticPr fontId="4"/>
  </si>
  <si>
    <t>(14+竜)+(9+竜)+(13+竜),(9+竜),(8+竜),(12+竜),(12+竜) 処12+11</t>
    <rPh sb="4" eb="5">
      <t>リュウ</t>
    </rPh>
    <rPh sb="10" eb="11">
      <t>リュウ</t>
    </rPh>
    <rPh sb="17" eb="18">
      <t>リュウ</t>
    </rPh>
    <rPh sb="23" eb="24">
      <t>リュウ</t>
    </rPh>
    <rPh sb="29" eb="30">
      <t>リュウ</t>
    </rPh>
    <rPh sb="36" eb="37">
      <t>リュウ</t>
    </rPh>
    <rPh sb="43" eb="44">
      <t>リュウ</t>
    </rPh>
    <rPh sb="46" eb="47">
      <t>トコロ</t>
    </rPh>
    <phoneticPr fontId="1"/>
  </si>
  <si>
    <t>これが日本のお節料理</t>
    <phoneticPr fontId="4"/>
  </si>
  <si>
    <t>タイプ偉人・神秘の防55％UP　/　タイプ飲食・知性派・名物の防30％UP</t>
  </si>
  <si>
    <t>天クロ冬姫エスコート～東～</t>
  </si>
  <si>
    <t>てんくろふゆひめえすこーとひがし</t>
    <phoneticPr fontId="4"/>
  </si>
  <si>
    <t>処12*2,11*3</t>
    <rPh sb="0" eb="1">
      <t>トコロ</t>
    </rPh>
    <phoneticPr fontId="1"/>
  </si>
  <si>
    <t>リードはお願い</t>
    <phoneticPr fontId="4"/>
  </si>
  <si>
    <t>天クロ冬姫エスコート～西～</t>
  </si>
  <si>
    <t>てんくろふゆひめえすこーとにし</t>
    <phoneticPr fontId="4"/>
  </si>
  <si>
    <t>処12*1,11*1</t>
    <rPh sb="0" eb="1">
      <t>ショ</t>
    </rPh>
    <phoneticPr fontId="4"/>
  </si>
  <si>
    <t>防寒よりも可愛さ</t>
    <phoneticPr fontId="4"/>
  </si>
  <si>
    <t>天クロ冬姫エスコート</t>
  </si>
  <si>
    <t>てんくろふゆひめえすこーと</t>
    <phoneticPr fontId="4"/>
  </si>
  <si>
    <t>(14+竜)+(14+竜)+(14+竜),(9+竜),(13+竜),(13+竜),(11+竜)</t>
    <rPh sb="4" eb="5">
      <t>リュウ</t>
    </rPh>
    <rPh sb="11" eb="12">
      <t>リュウ</t>
    </rPh>
    <rPh sb="18" eb="19">
      <t>リュウ</t>
    </rPh>
    <rPh sb="24" eb="25">
      <t>リュウ</t>
    </rPh>
    <rPh sb="31" eb="32">
      <t>リュウ</t>
    </rPh>
    <rPh sb="38" eb="39">
      <t>リュウ</t>
    </rPh>
    <rPh sb="45" eb="46">
      <t>リュウ</t>
    </rPh>
    <phoneticPr fontId="1"/>
  </si>
  <si>
    <t>お願いエスコート</t>
    <phoneticPr fontId="4"/>
  </si>
  <si>
    <t>タイプ妖怪・武人の防55％UP　/　タイプ姫・伝承の防30％UP</t>
  </si>
  <si>
    <t>天クロ鳥獣保護区～東～</t>
  </si>
  <si>
    <t>てんくろちょうじゅうほごくひがし</t>
    <phoneticPr fontId="4"/>
  </si>
  <si>
    <t>処8*2</t>
    <rPh sb="0" eb="1">
      <t>トコロ</t>
    </rPh>
    <phoneticPr fontId="1"/>
  </si>
  <si>
    <t>東のワイルドアニマル</t>
    <phoneticPr fontId="4"/>
  </si>
  <si>
    <t>天クロ鳥獣保護区～西～</t>
  </si>
  <si>
    <t>てんくろちょうじゅうほごくにし</t>
    <phoneticPr fontId="4"/>
  </si>
  <si>
    <t>処12*1,11*2</t>
    <rPh sb="0" eb="1">
      <t>トコロ</t>
    </rPh>
    <phoneticPr fontId="1"/>
  </si>
  <si>
    <t>西のワイルドアニマル</t>
    <phoneticPr fontId="4"/>
  </si>
  <si>
    <t>天クロ鳥獣保護区</t>
  </si>
  <si>
    <t>てんくろちょうじゅうほごく</t>
    <phoneticPr fontId="4"/>
  </si>
  <si>
    <t>(13+竜)+(13+竜)+(13+竜),(8+竜),(8+竜),(9+竜),(12+竜) 処(12+11)*2</t>
    <phoneticPr fontId="4"/>
  </si>
  <si>
    <t>天クロワイルドライフ</t>
    <phoneticPr fontId="4"/>
  </si>
  <si>
    <t>タイプ偉人・妖怪・名物の攻10％UP　/　タイプ武人・姫・伝承・飲食の防35％DOWN</t>
  </si>
  <si>
    <t>俳人春の散策～東～</t>
  </si>
  <si>
    <t>はいじんはるのさんさくひがし</t>
    <phoneticPr fontId="4"/>
  </si>
  <si>
    <t>処12*1</t>
    <phoneticPr fontId="4"/>
  </si>
  <si>
    <t>俳人春の散策～西～</t>
  </si>
  <si>
    <t>はいじんはるのさんさくにし</t>
    <phoneticPr fontId="4"/>
  </si>
  <si>
    <t>処13*2,12*1,11*3</t>
    <rPh sb="0" eb="1">
      <t>トコロ</t>
    </rPh>
    <phoneticPr fontId="1"/>
  </si>
  <si>
    <t>俳人春の散策～麗句十七音～</t>
  </si>
  <si>
    <t>はいじんはるのさんさくれいくじゅうしちおん</t>
    <phoneticPr fontId="4"/>
  </si>
  <si>
    <t>(14+竜)+(13+9)+((13+13)+(13+10)),(8+竜),(8+竜),(8+竜),(10+竜)</t>
    <rPh sb="4" eb="5">
      <t>リュウ</t>
    </rPh>
    <rPh sb="35" eb="36">
      <t>リュウ</t>
    </rPh>
    <phoneticPr fontId="1"/>
  </si>
  <si>
    <t>俳人達の春の句合</t>
    <phoneticPr fontId="4"/>
  </si>
  <si>
    <t>タイプ神秘・知性派・飲食の防40％UP　/　タイプ偉人・妖怪・名物の攻10％DOWN</t>
  </si>
  <si>
    <t>四神戦合体SR</t>
    <rPh sb="3" eb="5">
      <t>ガッタイ</t>
    </rPh>
    <phoneticPr fontId="4"/>
  </si>
  <si>
    <t>1・2月</t>
    <rPh sb="3" eb="4">
      <t>ガツ</t>
    </rPh>
    <phoneticPr fontId="1"/>
  </si>
  <si>
    <t>北東之方神</t>
  </si>
  <si>
    <t>ほくとうのほうしん</t>
    <phoneticPr fontId="4"/>
  </si>
  <si>
    <t>南方と西方から来たる助勢</t>
  </si>
  <si>
    <t>タイプ武人・姫の攻15％UP</t>
  </si>
  <si>
    <t>南西之方神</t>
  </si>
  <si>
    <t>なんせいのほうしん</t>
    <phoneticPr fontId="4"/>
  </si>
  <si>
    <t>北方と東方から響きし鼓舞</t>
  </si>
  <si>
    <t>【方位神】四神</t>
  </si>
  <si>
    <t>ほういしんししん</t>
    <phoneticPr fontId="4"/>
  </si>
  <si>
    <t>(16+竜)+(11+11)+(13+11)</t>
    <rPh sb="4" eb="5">
      <t>リュウ</t>
    </rPh>
    <phoneticPr fontId="4"/>
  </si>
  <si>
    <t>戦勝成就の四神の守護</t>
  </si>
  <si>
    <t>タイプ伝承・武人・姫の攻20％UP　/　タイプ妖怪・名物・偉人・神秘の防20％DOWN</t>
  </si>
  <si>
    <t>所属</t>
    <rPh sb="0" eb="2">
      <t>ショゾク</t>
    </rPh>
    <phoneticPr fontId="4"/>
  </si>
  <si>
    <t>タイプ</t>
    <phoneticPr fontId="4"/>
  </si>
  <si>
    <t>隊士名</t>
    <rPh sb="0" eb="2">
      <t>タイシ</t>
    </rPh>
    <rPh sb="2" eb="3">
      <t>メイ</t>
    </rPh>
    <phoneticPr fontId="4"/>
  </si>
  <si>
    <t>読み方</t>
    <rPh sb="0" eb="1">
      <t>ヨ</t>
    </rPh>
    <rPh sb="2" eb="3">
      <t>カタ</t>
    </rPh>
    <phoneticPr fontId="4"/>
  </si>
  <si>
    <t>段階無視</t>
    <rPh sb="0" eb="2">
      <t>ダンカイ</t>
    </rPh>
    <rPh sb="2" eb="4">
      <t>ムシ</t>
    </rPh>
    <phoneticPr fontId="1"/>
  </si>
  <si>
    <t>スキル名</t>
    <rPh sb="3" eb="4">
      <t>メイ</t>
    </rPh>
    <phoneticPr fontId="4"/>
  </si>
  <si>
    <t>2019年</t>
    <rPh sb="4" eb="5">
      <t>ネン</t>
    </rPh>
    <phoneticPr fontId="4"/>
  </si>
  <si>
    <t>1月報酬</t>
    <rPh sb="1" eb="2">
      <t>ガツ</t>
    </rPh>
    <rPh sb="2" eb="4">
      <t>ホウシュウ</t>
    </rPh>
    <phoneticPr fontId="4"/>
  </si>
  <si>
    <t>東日本→全国</t>
    <rPh sb="0" eb="1">
      <t>ヒガシ</t>
    </rPh>
    <rPh sb="1" eb="3">
      <t>ニホン</t>
    </rPh>
    <rPh sb="4" eb="6">
      <t>ゼンコク</t>
    </rPh>
    <phoneticPr fontId="1"/>
  </si>
  <si>
    <t>獅子王レオニダス</t>
  </si>
  <si>
    <t>ししおうれおにだす</t>
    <phoneticPr fontId="4"/>
  </si>
  <si>
    <t>○</t>
  </si>
  <si>
    <t>獅子の武威</t>
    <phoneticPr fontId="4"/>
  </si>
  <si>
    <t>2月報酬</t>
    <rPh sb="1" eb="2">
      <t>ガツ</t>
    </rPh>
    <phoneticPr fontId="4"/>
  </si>
  <si>
    <t>西日本→全国</t>
    <phoneticPr fontId="4"/>
  </si>
  <si>
    <t>星読みのルールー</t>
  </si>
  <si>
    <t>ほしよみのるーるー</t>
    <phoneticPr fontId="4"/>
  </si>
  <si>
    <t>星の囁き</t>
    <phoneticPr fontId="4"/>
  </si>
  <si>
    <t>タイプ神秘・知性派・飲食の防35％UP　/　タイプ伝承・武人・姫の攻10％DOWN</t>
  </si>
  <si>
    <t>3月報酬</t>
    <rPh sb="1" eb="2">
      <t>ガツ</t>
    </rPh>
    <phoneticPr fontId="4"/>
  </si>
  <si>
    <t>【愛唱】エラトー</t>
  </si>
  <si>
    <t>あいしょうえらとー</t>
    <phoneticPr fontId="4"/>
  </si>
  <si>
    <t>愛を奏でるミューズ</t>
  </si>
  <si>
    <t>4月報酬</t>
    <rPh sb="1" eb="2">
      <t>ガツ</t>
    </rPh>
    <phoneticPr fontId="4"/>
  </si>
  <si>
    <t>西日本→全国</t>
    <rPh sb="0" eb="1">
      <t>ニシ</t>
    </rPh>
    <rPh sb="1" eb="3">
      <t>ニホン</t>
    </rPh>
    <rPh sb="4" eb="6">
      <t>ゼンコク</t>
    </rPh>
    <phoneticPr fontId="4"/>
  </si>
  <si>
    <t>【桜鬼】蟒蛇ヤマザ</t>
  </si>
  <si>
    <t>さくらおにうわばみやまざ</t>
    <phoneticPr fontId="4"/>
  </si>
  <si>
    <t>桜の下の宴会</t>
    <phoneticPr fontId="4"/>
  </si>
  <si>
    <t>タイプ【武人】の防80％UP　/　タイプ姫・伝承の防20％UP</t>
  </si>
  <si>
    <t>5月報酬</t>
    <rPh sb="1" eb="2">
      <t>ガツ</t>
    </rPh>
    <phoneticPr fontId="4"/>
  </si>
  <si>
    <t>【サーカス】赤神と黒神</t>
  </si>
  <si>
    <t>さーかすあかがみとくろかみ</t>
    <phoneticPr fontId="4"/>
  </si>
  <si>
    <t>赤と黒の道化</t>
    <phoneticPr fontId="4"/>
  </si>
  <si>
    <t>タイプ伝承・武人・姫の攻25％UP　/　タイプ神秘・知性派・飲食・武人の防13％DOWN</t>
  </si>
  <si>
    <t>6月報酬</t>
    <rPh sb="1" eb="2">
      <t>ガツ</t>
    </rPh>
    <phoneticPr fontId="4"/>
  </si>
  <si>
    <t>[新生]【降凛】皇女和宮</t>
  </si>
  <si>
    <t>しんせいこうりんこうじょかずのみや</t>
    <phoneticPr fontId="4"/>
  </si>
  <si>
    <t>聡明なる皇女の癒し</t>
    <phoneticPr fontId="4"/>
  </si>
  <si>
    <t>タイプ【武人】の攻80％UP　/　タイプ姫・伝承の攻20％UP</t>
  </si>
  <si>
    <t>7月報酬</t>
    <rPh sb="1" eb="2">
      <t>ガツ</t>
    </rPh>
    <phoneticPr fontId="4"/>
  </si>
  <si>
    <t>[新生]とんこつラーメン</t>
  </si>
  <si>
    <t>しんせいとんこつらーめん</t>
    <phoneticPr fontId="4"/>
  </si>
  <si>
    <t>替え玉上等〆の一杯</t>
    <phoneticPr fontId="4"/>
  </si>
  <si>
    <t>8月報酬</t>
    <rPh sb="1" eb="2">
      <t>ガツ</t>
    </rPh>
    <phoneticPr fontId="4"/>
  </si>
  <si>
    <t>[新生]古籠火</t>
  </si>
  <si>
    <t>しんせいころうか</t>
    <phoneticPr fontId="4"/>
  </si>
  <si>
    <t>灯りに浮かぶ妖鬼</t>
  </si>
  <si>
    <t>タイプ武人・姫の防80%DOWN　/　タイプ偉人・妖怪・名物の攻20%UP</t>
    <rPh sb="3" eb="5">
      <t>ブジン</t>
    </rPh>
    <rPh sb="6" eb="7">
      <t>ヒメ</t>
    </rPh>
    <rPh sb="8" eb="9">
      <t>ボウ</t>
    </rPh>
    <rPh sb="22" eb="24">
      <t>イジン</t>
    </rPh>
    <rPh sb="25" eb="27">
      <t>ヨウカイ</t>
    </rPh>
    <rPh sb="28" eb="30">
      <t>メイブツ</t>
    </rPh>
    <rPh sb="31" eb="32">
      <t>コウ</t>
    </rPh>
    <phoneticPr fontId="1"/>
  </si>
  <si>
    <t>9月報酬</t>
    <rPh sb="1" eb="2">
      <t>ガツ</t>
    </rPh>
    <phoneticPr fontId="4"/>
  </si>
  <si>
    <t>[新生]【千人塚】足利義輝</t>
  </si>
  <si>
    <t>しんせいせんにんづかあしかがよしてる</t>
    <phoneticPr fontId="4"/>
  </si>
  <si>
    <t>戦乱の剣豪将軍</t>
    <phoneticPr fontId="4"/>
  </si>
  <si>
    <t>タイプ姫・伝承の攻15％UP　/　タイプ【武人】の攻10％UP</t>
  </si>
  <si>
    <t>10月報酬</t>
    <phoneticPr fontId="4"/>
  </si>
  <si>
    <t>[新生]獏</t>
  </si>
  <si>
    <t>しんせいばく</t>
    <phoneticPr fontId="4"/>
  </si>
  <si>
    <t>悪夢を喰らう神獣</t>
    <phoneticPr fontId="4"/>
  </si>
  <si>
    <t>タイプ伝承・武人・姫の攻65％DOWN　/　タイプ知性派・飲食の防25％UP</t>
  </si>
  <si>
    <t>11月報酬</t>
    <rPh sb="2" eb="3">
      <t>ガツ</t>
    </rPh>
    <phoneticPr fontId="4"/>
  </si>
  <si>
    <t>[新生]最澄</t>
  </si>
  <si>
    <t>しんせいさいちょう</t>
    <phoneticPr fontId="4"/>
  </si>
  <si>
    <t>伝教大師の導き</t>
    <phoneticPr fontId="4"/>
  </si>
  <si>
    <t>12月報酬</t>
  </si>
  <si>
    <t>[新生]オキクルミ</t>
  </si>
  <si>
    <t>しんせいおきくるみ</t>
    <phoneticPr fontId="4"/>
  </si>
  <si>
    <t>天を衝く英雄の矢</t>
    <phoneticPr fontId="4"/>
  </si>
  <si>
    <t>タイプ伝承・武人・姫の防65％DOWN　/　タイプ知性派・飲食の攻25％UP</t>
  </si>
  <si>
    <t>2020年</t>
    <rPh sb="4" eb="5">
      <t>ネン</t>
    </rPh>
    <phoneticPr fontId="4"/>
  </si>
  <si>
    <t>無所属→全国</t>
    <rPh sb="0" eb="3">
      <t>ムショゾク</t>
    </rPh>
    <rPh sb="4" eb="6">
      <t>ゼンコク</t>
    </rPh>
    <phoneticPr fontId="4"/>
  </si>
  <si>
    <t>[新生]お神酒ちゃん</t>
  </si>
  <si>
    <t>しんせいおみきちゃん</t>
    <phoneticPr fontId="4"/>
  </si>
  <si>
    <t>豊作奉納の神酒</t>
    <phoneticPr fontId="4"/>
  </si>
  <si>
    <t>タイプ神秘・知性派の防35％UP　/　タイプ【飲食】の防20％UP</t>
  </si>
  <si>
    <t>[新生]鬼小島弥太郎</t>
  </si>
  <si>
    <t>しんせいおにこじまやたろう</t>
    <phoneticPr fontId="4"/>
  </si>
  <si>
    <t>豪傑無双の鬼槍刃</t>
    <phoneticPr fontId="4"/>
  </si>
  <si>
    <t>タイプ伝承・武人・姫の防25％UP　/　タイプ神秘・知性派・飲食・武人の攻13％DOWN</t>
  </si>
  <si>
    <t>3月報酬</t>
    <rPh sb="1" eb="2">
      <t>ガツ</t>
    </rPh>
    <rPh sb="2" eb="4">
      <t>ホウシュウ</t>
    </rPh>
    <phoneticPr fontId="4"/>
  </si>
  <si>
    <t>[新生]熊野牟須美神</t>
  </si>
  <si>
    <t>しんせいくまのふすみのかみ</t>
    <phoneticPr fontId="4"/>
  </si>
  <si>
    <t>熊野に現れし隆隆たる炎神</t>
    <phoneticPr fontId="4"/>
  </si>
  <si>
    <t>予定</t>
    <rPh sb="0" eb="2">
      <t>ヨテイ</t>
    </rPh>
    <phoneticPr fontId="4"/>
  </si>
  <si>
    <t>2016年</t>
    <phoneticPr fontId="4"/>
  </si>
  <si>
    <t>1月防衛戦？</t>
    <rPh sb="1" eb="2">
      <t>ガツ</t>
    </rPh>
    <rPh sb="2" eb="5">
      <t>ボウエイセン</t>
    </rPh>
    <phoneticPr fontId="4"/>
  </si>
  <si>
    <t>阿修羅</t>
  </si>
  <si>
    <t>あしゅら</t>
    <phoneticPr fontId="4"/>
  </si>
  <si>
    <t>ー</t>
  </si>
  <si>
    <t>13共+竜+竜+竜+竜</t>
    <rPh sb="2" eb="3">
      <t>トモ</t>
    </rPh>
    <rPh sb="4" eb="5">
      <t>リュウ</t>
    </rPh>
    <rPh sb="6" eb="7">
      <t>リュウ</t>
    </rPh>
    <rPh sb="8" eb="9">
      <t>リュウ</t>
    </rPh>
    <rPh sb="10" eb="11">
      <t>リュウ</t>
    </rPh>
    <phoneticPr fontId="4"/>
  </si>
  <si>
    <t>燃え盛る修羅道</t>
    <phoneticPr fontId="4"/>
  </si>
  <si>
    <t>タイプ【知性派】の攻20％UP</t>
    <phoneticPr fontId="4"/>
  </si>
  <si>
    <t>1月サイコロ</t>
    <rPh sb="1" eb="2">
      <t>ガツ</t>
    </rPh>
    <phoneticPr fontId="2"/>
  </si>
  <si>
    <t>無所属→全国</t>
    <rPh sb="0" eb="3">
      <t>ムショゾク</t>
    </rPh>
    <rPh sb="4" eb="6">
      <t>ゼンコク</t>
    </rPh>
    <phoneticPr fontId="2"/>
  </si>
  <si>
    <t>伝承</t>
    <rPh sb="0" eb="2">
      <t>デンショウ</t>
    </rPh>
    <phoneticPr fontId="2"/>
  </si>
  <si>
    <t>【紫煙】赤木しげる</t>
  </si>
  <si>
    <t>しえんあかぎしげる</t>
  </si>
  <si>
    <t>不合理に身をゆだねてこそギャンブル</t>
  </si>
  <si>
    <t>タイプ【武人】の攻50％UP　/　タイプ姫・伝承の攻25％UP</t>
    <rPh sb="8" eb="9">
      <t>コウ</t>
    </rPh>
    <rPh sb="25" eb="26">
      <t>コウ</t>
    </rPh>
    <phoneticPr fontId="1"/>
  </si>
  <si>
    <t>2月防衛戦？</t>
    <rPh sb="1" eb="2">
      <t>ガツ</t>
    </rPh>
    <rPh sb="2" eb="5">
      <t>ボウエイセン</t>
    </rPh>
    <phoneticPr fontId="4"/>
  </si>
  <si>
    <t>西日本→全国</t>
    <rPh sb="0" eb="1">
      <t>ニシ</t>
    </rPh>
    <rPh sb="1" eb="3">
      <t>ニホン</t>
    </rPh>
    <rPh sb="4" eb="6">
      <t>ゼンコク</t>
    </rPh>
    <phoneticPr fontId="1"/>
  </si>
  <si>
    <t>鳥獣戯画</t>
  </si>
  <si>
    <t>ちょうじゅうぎが</t>
  </si>
  <si>
    <t>19+竜+竜+竜+(16(↑17)+14+14+14+(14+13+13+13+13),13,13,13,13)</t>
    <rPh sb="3" eb="4">
      <t>リュウ</t>
    </rPh>
    <phoneticPr fontId="4"/>
  </si>
  <si>
    <t>最古の娯楽漫画</t>
    <rPh sb="0" eb="2">
      <t>サイコ</t>
    </rPh>
    <rPh sb="3" eb="5">
      <t>ゴラク</t>
    </rPh>
    <rPh sb="5" eb="7">
      <t>マンガ</t>
    </rPh>
    <phoneticPr fontId="1"/>
  </si>
  <si>
    <t>タイプ【武人】の攻50％UP　/　タイプ姫・伝承・名物・偉人の攻25％UP</t>
    <rPh sb="8" eb="9">
      <t>コウ</t>
    </rPh>
    <rPh sb="25" eb="27">
      <t>メイブツ</t>
    </rPh>
    <rPh sb="28" eb="30">
      <t>イジン</t>
    </rPh>
    <rPh sb="31" eb="32">
      <t>コウ</t>
    </rPh>
    <phoneticPr fontId="1"/>
  </si>
  <si>
    <t>2月サイコロ</t>
    <rPh sb="1" eb="2">
      <t>ガツ</t>
    </rPh>
    <phoneticPr fontId="2"/>
  </si>
  <si>
    <t>東日本→全国</t>
    <phoneticPr fontId="4"/>
  </si>
  <si>
    <t>【降凛】皇女和宮</t>
  </si>
  <si>
    <t>こうりんこうじょかずのみや</t>
  </si>
  <si>
    <t>聡明なる皇女の癒し</t>
  </si>
  <si>
    <t>タイプ武人・飲食の防50％UP　/　タイプ伝承・姫の防25％UP</t>
    <rPh sb="6" eb="8">
      <t>インショク</t>
    </rPh>
    <phoneticPr fontId="2"/>
  </si>
  <si>
    <t>3月防衛戦？</t>
    <rPh sb="1" eb="2">
      <t>ガツ</t>
    </rPh>
    <rPh sb="2" eb="5">
      <t>ボウエイセン</t>
    </rPh>
    <phoneticPr fontId="4"/>
  </si>
  <si>
    <t>徳川綱吉</t>
  </si>
  <si>
    <t>とくがわつなよし</t>
    <phoneticPr fontId="4"/>
  </si>
  <si>
    <t>16+竜+竜+14+16</t>
    <rPh sb="3" eb="4">
      <t>リュウ</t>
    </rPh>
    <rPh sb="5" eb="6">
      <t>リュウ</t>
    </rPh>
    <phoneticPr fontId="4"/>
  </si>
  <si>
    <t>平和をこよなく愛した将軍</t>
    <phoneticPr fontId="4"/>
  </si>
  <si>
    <t>3月サイコロ</t>
    <rPh sb="1" eb="2">
      <t>ガツ</t>
    </rPh>
    <phoneticPr fontId="2"/>
  </si>
  <si>
    <t>カラカウア王</t>
  </si>
  <si>
    <t>からかうあおう</t>
  </si>
  <si>
    <t>9+9</t>
    <phoneticPr fontId="4"/>
  </si>
  <si>
    <t>13共+竜+竜+竜+(9+9)</t>
    <rPh sb="2" eb="3">
      <t>トモ</t>
    </rPh>
    <rPh sb="4" eb="5">
      <t>リュウ</t>
    </rPh>
    <rPh sb="6" eb="7">
      <t>リュウ</t>
    </rPh>
    <rPh sb="8" eb="9">
      <t>リュウ</t>
    </rPh>
    <phoneticPr fontId="4"/>
  </si>
  <si>
    <t>南の島の外交大使</t>
  </si>
  <si>
    <t>タイプ名物・妖怪・飲食の防40％UP　/　タイプ偉人・武人・伝承・姫の防15％UP</t>
    <rPh sb="9" eb="11">
      <t>インショク</t>
    </rPh>
    <rPh sb="12" eb="13">
      <t>ボウ</t>
    </rPh>
    <rPh sb="27" eb="29">
      <t>ブジン</t>
    </rPh>
    <rPh sb="30" eb="32">
      <t>デンショウ</t>
    </rPh>
    <rPh sb="35" eb="36">
      <t>ボウ</t>
    </rPh>
    <phoneticPr fontId="2"/>
  </si>
  <si>
    <t>4月防衛戦？</t>
    <rPh sb="1" eb="2">
      <t>ガツ</t>
    </rPh>
    <rPh sb="2" eb="5">
      <t>ボウエイセン</t>
    </rPh>
    <phoneticPr fontId="4"/>
  </si>
  <si>
    <t>姫手鞠</t>
  </si>
  <si>
    <t>ひめてまり</t>
    <phoneticPr fontId="4"/>
  </si>
  <si>
    <t>一生物の伝統品</t>
    <phoneticPr fontId="4"/>
  </si>
  <si>
    <t>4月サイコロ</t>
    <rPh sb="1" eb="2">
      <t>ガツ</t>
    </rPh>
    <phoneticPr fontId="2"/>
  </si>
  <si>
    <t>東日本→全国</t>
  </si>
  <si>
    <t>花咲か娘</t>
  </si>
  <si>
    <t>はなさかむすめ</t>
    <phoneticPr fontId="4"/>
  </si>
  <si>
    <t>桜に届く優しい声</t>
    <phoneticPr fontId="4"/>
  </si>
  <si>
    <t>タイプ武人・姫の防40％UP　/　タイプ伝承・知性派・飲食の防20％UP</t>
    <rPh sb="23" eb="25">
      <t>チセイ</t>
    </rPh>
    <rPh sb="25" eb="26">
      <t>ハ</t>
    </rPh>
    <rPh sb="27" eb="29">
      <t>インショク</t>
    </rPh>
    <phoneticPr fontId="2"/>
  </si>
  <si>
    <t>5月防衛戦？</t>
    <rPh sb="1" eb="2">
      <t>ガツ</t>
    </rPh>
    <rPh sb="2" eb="5">
      <t>ボウエイセン</t>
    </rPh>
    <phoneticPr fontId="4"/>
  </si>
  <si>
    <t>小栗上野介</t>
  </si>
  <si>
    <t>おぐりこうずけのすけ</t>
    <phoneticPr fontId="4"/>
  </si>
  <si>
    <t>13共+竜+竜+竜+竜</t>
    <rPh sb="4" eb="5">
      <t>リュウ</t>
    </rPh>
    <rPh sb="6" eb="7">
      <t>リュウ</t>
    </rPh>
    <rPh sb="8" eb="9">
      <t>リュウ</t>
    </rPh>
    <rPh sb="10" eb="11">
      <t>リュウ</t>
    </rPh>
    <phoneticPr fontId="4"/>
  </si>
  <si>
    <t>法治国家への道</t>
    <phoneticPr fontId="4"/>
  </si>
  <si>
    <t>タイプ名物・妖怪の攻20％UP</t>
    <phoneticPr fontId="4"/>
  </si>
  <si>
    <t>5月サイコロ</t>
    <rPh sb="1" eb="2">
      <t>ガツ</t>
    </rPh>
    <phoneticPr fontId="2"/>
  </si>
  <si>
    <t>カツオのたたき</t>
  </si>
  <si>
    <t>かつおのたたき</t>
  </si>
  <si>
    <t>炙り鰹と薬味のコラボ</t>
    <phoneticPr fontId="4"/>
  </si>
  <si>
    <t>6月防衛戦？</t>
    <rPh sb="1" eb="2">
      <t>ガツ</t>
    </rPh>
    <rPh sb="2" eb="5">
      <t>ボウエイセン</t>
    </rPh>
    <phoneticPr fontId="4"/>
  </si>
  <si>
    <t>東日本→全国</t>
    <rPh sb="4" eb="6">
      <t>ゼンコク</t>
    </rPh>
    <phoneticPr fontId="1"/>
  </si>
  <si>
    <t>九頭龍大神</t>
  </si>
  <si>
    <t>くずりゅうおおみかみ</t>
  </si>
  <si>
    <t>18+竜+竜+15+(16+?+?+?+?)</t>
    <rPh sb="3" eb="4">
      <t>リュウ</t>
    </rPh>
    <rPh sb="5" eb="6">
      <t>リュウ</t>
    </rPh>
    <phoneticPr fontId="4"/>
  </si>
  <si>
    <t>水辺に溢れる龍の怒り</t>
  </si>
  <si>
    <t>6月サイコロ</t>
    <rPh sb="1" eb="2">
      <t>ガツ</t>
    </rPh>
    <phoneticPr fontId="2"/>
  </si>
  <si>
    <t>大久保利通</t>
  </si>
  <si>
    <t>おおくぼとしみち</t>
    <phoneticPr fontId="4"/>
  </si>
  <si>
    <t>維新の縁の下</t>
    <phoneticPr fontId="4"/>
  </si>
  <si>
    <t>タイプ名物・妖怪・飲食の攻40％UP　/　タイプ偉人・姫・武人・伝承の攻35％UP</t>
    <rPh sb="9" eb="11">
      <t>インショク</t>
    </rPh>
    <rPh sb="29" eb="31">
      <t>ブジン</t>
    </rPh>
    <rPh sb="32" eb="34">
      <t>デンショウ</t>
    </rPh>
    <phoneticPr fontId="2"/>
  </si>
  <si>
    <t>7月防衛戦？</t>
    <rPh sb="1" eb="2">
      <t>ガツ</t>
    </rPh>
    <rPh sb="2" eb="5">
      <t>ボウエイセン</t>
    </rPh>
    <phoneticPr fontId="4"/>
  </si>
  <si>
    <t>ヤンバルクイナ</t>
  </si>
  <si>
    <t>やんばるくいな</t>
  </si>
  <si>
    <t>やんばるに響く鳴き声</t>
    <phoneticPr fontId="4"/>
  </si>
  <si>
    <t>タイプ【偉人】の防20％UP</t>
    <phoneticPr fontId="4"/>
  </si>
  <si>
    <t>7月サイコロ</t>
    <rPh sb="1" eb="2">
      <t>ガツ</t>
    </rPh>
    <phoneticPr fontId="2"/>
  </si>
  <si>
    <t>足利茶々丸</t>
  </si>
  <si>
    <t>あしかがちゃちゃまる</t>
  </si>
  <si>
    <t>19(↑3進後+2)+?+?+?+?,15,15,15,15</t>
    <rPh sb="5" eb="6">
      <t>シン</t>
    </rPh>
    <rPh sb="6" eb="7">
      <t>ゴ</t>
    </rPh>
    <phoneticPr fontId="4"/>
  </si>
  <si>
    <t>波乱に愛された堀越公方</t>
  </si>
  <si>
    <t>8月防衛戦？</t>
    <rPh sb="1" eb="2">
      <t>ガツ</t>
    </rPh>
    <rPh sb="2" eb="5">
      <t>ボウエイセン</t>
    </rPh>
    <phoneticPr fontId="4"/>
  </si>
  <si>
    <t>【戦姫】葵御前</t>
  </si>
  <si>
    <t>せんきあおいごぜん</t>
  </si>
  <si>
    <t>15+竜+12+13+15</t>
    <rPh sb="3" eb="4">
      <t>リュウ</t>
    </rPh>
    <phoneticPr fontId="1"/>
  </si>
  <si>
    <t>女武者葵の戦い</t>
  </si>
  <si>
    <t>タイプ飲食・武人の攻50％UP　/　タイプ姫・伝承・偉人・名物・妖怪の攻25％UP</t>
  </si>
  <si>
    <t>8月サイコロ</t>
    <rPh sb="1" eb="2">
      <t>ガツ</t>
    </rPh>
    <phoneticPr fontId="2"/>
  </si>
  <si>
    <t>伊藤若冲</t>
  </si>
  <si>
    <t>いとうじゃくちゅう</t>
    <phoneticPr fontId="4"/>
  </si>
  <si>
    <t>15+竜+竜+竜+15</t>
    <rPh sb="3" eb="4">
      <t>リュウ</t>
    </rPh>
    <rPh sb="5" eb="6">
      <t>リュウ</t>
    </rPh>
    <rPh sb="7" eb="8">
      <t>リュウ</t>
    </rPh>
    <phoneticPr fontId="4"/>
  </si>
  <si>
    <t>奇想の天才画家</t>
  </si>
  <si>
    <t>9月防衛戦？</t>
    <rPh sb="1" eb="2">
      <t>ガツ</t>
    </rPh>
    <rPh sb="2" eb="5">
      <t>ボウエイセン</t>
    </rPh>
    <phoneticPr fontId="4"/>
  </si>
  <si>
    <t>【大政奉還】西郷隆盛</t>
  </si>
  <si>
    <t>たいせいほうかんさいごうたかもり</t>
    <phoneticPr fontId="4"/>
  </si>
  <si>
    <t>16+竜+竜+竜+15</t>
    <rPh sb="3" eb="4">
      <t>リュウ</t>
    </rPh>
    <rPh sb="5" eb="6">
      <t>リュウ</t>
    </rPh>
    <rPh sb="7" eb="8">
      <t>リュウ</t>
    </rPh>
    <phoneticPr fontId="4"/>
  </si>
  <si>
    <t>豪快なる維新三傑の一</t>
    <phoneticPr fontId="4"/>
  </si>
  <si>
    <t>9月サイコロ</t>
    <rPh sb="1" eb="2">
      <t>ガツ</t>
    </rPh>
    <phoneticPr fontId="2"/>
  </si>
  <si>
    <t>鬼小島弥太郎</t>
  </si>
  <si>
    <t>おにこじまやたろう</t>
    <phoneticPr fontId="4"/>
  </si>
  <si>
    <t>豪傑無双の鬼槍刃</t>
  </si>
  <si>
    <t>10月防衛戦？</t>
    <rPh sb="2" eb="3">
      <t>ガツ</t>
    </rPh>
    <rPh sb="3" eb="6">
      <t>ボウエイセン</t>
    </rPh>
    <phoneticPr fontId="4"/>
  </si>
  <si>
    <t>【千人塚】足利義輝</t>
  </si>
  <si>
    <t>せんにんづかあしかがよしてる</t>
    <phoneticPr fontId="4"/>
  </si>
  <si>
    <t>10月サイコロ</t>
    <rPh sb="2" eb="3">
      <t>ガツ</t>
    </rPh>
    <phoneticPr fontId="2"/>
  </si>
  <si>
    <t>古籠火</t>
  </si>
  <si>
    <t>ころうか</t>
    <phoneticPr fontId="4"/>
  </si>
  <si>
    <t>16+竜+竜+15+16</t>
    <phoneticPr fontId="4"/>
  </si>
  <si>
    <t>タイプ偉人・妖怪・名物の攻35％UP　/　タイプ【神秘】の防50％DOWN</t>
    <rPh sb="3" eb="5">
      <t>イジン</t>
    </rPh>
    <rPh sb="6" eb="8">
      <t>ヨウカイ</t>
    </rPh>
    <rPh sb="9" eb="11">
      <t>メイブツ</t>
    </rPh>
    <rPh sb="12" eb="13">
      <t>コウ</t>
    </rPh>
    <rPh sb="25" eb="27">
      <t>シンピ</t>
    </rPh>
    <rPh sb="29" eb="30">
      <t>ボウ</t>
    </rPh>
    <phoneticPr fontId="1"/>
  </si>
  <si>
    <t>11月防衛戦</t>
    <rPh sb="2" eb="3">
      <t>ガツ</t>
    </rPh>
    <rPh sb="3" eb="6">
      <t>ボウエイセン</t>
    </rPh>
    <phoneticPr fontId="4"/>
  </si>
  <si>
    <t>犬養毅</t>
  </si>
  <si>
    <t>いぬかいつよし</t>
  </si>
  <si>
    <t>17+竜+竜+竜+(14+竜+竜+竜+13)</t>
  </si>
  <si>
    <t>対話による進化</t>
  </si>
  <si>
    <t>タイプ妖怪の防40％UP　/　タイプ名物・伝承・武人・姫・偉人の防35％UP</t>
    <rPh sb="3" eb="5">
      <t>ヨウカイ</t>
    </rPh>
    <rPh sb="18" eb="20">
      <t>メイブツ</t>
    </rPh>
    <rPh sb="21" eb="23">
      <t>デンショウ</t>
    </rPh>
    <rPh sb="24" eb="26">
      <t>ブジン</t>
    </rPh>
    <rPh sb="27" eb="28">
      <t>ヒメ</t>
    </rPh>
    <rPh sb="29" eb="31">
      <t>イジン</t>
    </rPh>
    <rPh sb="32" eb="33">
      <t>ボウ</t>
    </rPh>
    <phoneticPr fontId="1"/>
  </si>
  <si>
    <t>11月サイコロ</t>
    <rPh sb="2" eb="3">
      <t>ガツ</t>
    </rPh>
    <phoneticPr fontId="2"/>
  </si>
  <si>
    <t>とんこつラーメン</t>
  </si>
  <si>
    <t>とんこつらーめん</t>
  </si>
  <si>
    <t>替え玉上等〆の一杯</t>
  </si>
  <si>
    <t>タイプ偉人・神秘の防55％UP　/　タイプ飲食・知性派・武人・姫・伝承の防30％UP</t>
    <rPh sb="3" eb="5">
      <t>イジン</t>
    </rPh>
    <rPh sb="6" eb="8">
      <t>シンピ</t>
    </rPh>
    <rPh sb="21" eb="23">
      <t>インショク</t>
    </rPh>
    <rPh sb="24" eb="26">
      <t>チセイ</t>
    </rPh>
    <rPh sb="26" eb="27">
      <t>ハ</t>
    </rPh>
    <rPh sb="28" eb="30">
      <t>ブジン</t>
    </rPh>
    <rPh sb="31" eb="32">
      <t>ヒメ</t>
    </rPh>
    <rPh sb="33" eb="35">
      <t>デンショウ</t>
    </rPh>
    <rPh sb="36" eb="37">
      <t>ボウ</t>
    </rPh>
    <phoneticPr fontId="1"/>
  </si>
  <si>
    <t>12月防衛戦</t>
    <rPh sb="2" eb="3">
      <t>ガツ</t>
    </rPh>
    <rPh sb="3" eb="6">
      <t>ボウエイセン</t>
    </rPh>
    <phoneticPr fontId="4"/>
  </si>
  <si>
    <t>島津斉彬</t>
  </si>
  <si>
    <t>しまづなりあきら</t>
  </si>
  <si>
    <t>17+竜+竜+竜+(13+竜+竜+竜+12)</t>
  </si>
  <si>
    <t>海を見通す先見の明</t>
  </si>
  <si>
    <t>タイプ名物・妖怪・武人の攻40％UP　/　タイプ偉人・飲食・姫・知性派の攻35％UP</t>
  </si>
  <si>
    <t>12月サイコロ</t>
    <rPh sb="2" eb="3">
      <t>ガツ</t>
    </rPh>
    <phoneticPr fontId="2"/>
  </si>
  <si>
    <t>夜叉姫</t>
  </si>
  <si>
    <t>やしゃひめ</t>
  </si>
  <si>
    <t>17+竜+竜+12+(14+9+9+竜+13)</t>
  </si>
  <si>
    <t>夜叉の雨乞い</t>
  </si>
  <si>
    <t>2017年</t>
    <phoneticPr fontId="4"/>
  </si>
  <si>
    <t>1月防衛戦</t>
    <rPh sb="2" eb="5">
      <t>ボウエイセン</t>
    </rPh>
    <phoneticPr fontId="4"/>
  </si>
  <si>
    <t>尊子内親王</t>
  </si>
  <si>
    <t>そんしないしんのう</t>
  </si>
  <si>
    <t>16(↑3進後+2)+?+?+?+?,17</t>
    <rPh sb="5" eb="6">
      <t>シン</t>
    </rPh>
    <rPh sb="6" eb="7">
      <t>ゴ</t>
    </rPh>
    <phoneticPr fontId="4"/>
  </si>
  <si>
    <t>ひと世広がる炎の哀歌</t>
  </si>
  <si>
    <t>長谷川時雨</t>
  </si>
  <si>
    <t>はせがわしぐれ</t>
  </si>
  <si>
    <t>17+?+?+?+?,?,13,13</t>
  </si>
  <si>
    <t>文才輝クさくら吹雪</t>
  </si>
  <si>
    <t>2月防衛戦</t>
    <rPh sb="1" eb="2">
      <t>ガツ</t>
    </rPh>
    <rPh sb="2" eb="5">
      <t>ボウエイセン</t>
    </rPh>
    <phoneticPr fontId="4"/>
  </si>
  <si>
    <t>奇術</t>
  </si>
  <si>
    <t>きじゅつ</t>
  </si>
  <si>
    <t>倉1</t>
    <rPh sb="0" eb="1">
      <t>クラ</t>
    </rPh>
    <phoneticPr fontId="1"/>
  </si>
  <si>
    <t>無より出でし芸の戯れ</t>
  </si>
  <si>
    <t>タイプ武人・姫の防40％UP　/　タイプ偉人・名物・伝承の防35％UP</t>
  </si>
  <si>
    <t>2月龍神杯</t>
    <rPh sb="1" eb="2">
      <t>ガツ</t>
    </rPh>
    <rPh sb="2" eb="4">
      <t>リュウジン</t>
    </rPh>
    <rPh sb="4" eb="5">
      <t>ハイ</t>
    </rPh>
    <phoneticPr fontId="4"/>
  </si>
  <si>
    <t>喜多川歌麿</t>
  </si>
  <si>
    <t>きたがわうたまろ</t>
  </si>
  <si>
    <t>15+13+14+14+(14+?+?+?+?,?,?,?,?),9,11,11,14</t>
  </si>
  <si>
    <t>美に対する執念</t>
  </si>
  <si>
    <t>北海道犬</t>
  </si>
  <si>
    <t>ほっかいどういぬ</t>
  </si>
  <si>
    <t>18+13+15+15+(15+?+?+?+?,?,11,15,13)</t>
  </si>
  <si>
    <t>山野を掛ける勇敢な牙</t>
    <rPh sb="0" eb="2">
      <t>サンヤ</t>
    </rPh>
    <rPh sb="3" eb="4">
      <t>カ</t>
    </rPh>
    <rPh sb="6" eb="8">
      <t>ユウカン</t>
    </rPh>
    <rPh sb="9" eb="10">
      <t>キバ</t>
    </rPh>
    <phoneticPr fontId="1"/>
  </si>
  <si>
    <t>3月防衛戦</t>
    <rPh sb="1" eb="2">
      <t>ガツ</t>
    </rPh>
    <rPh sb="2" eb="5">
      <t>ボウエイセン</t>
    </rPh>
    <phoneticPr fontId="4"/>
  </si>
  <si>
    <t>狗賓</t>
  </si>
  <si>
    <t>ぐひん</t>
  </si>
  <si>
    <t>14+?+?+?+?,?,?</t>
  </si>
  <si>
    <t>下される山神の怒り</t>
  </si>
  <si>
    <t>タイプ【武人】の防100％DOWN　/　タイプ姫・伝承・神秘の防30％DOWN</t>
    <rPh sb="4" eb="6">
      <t>ブジン</t>
    </rPh>
    <rPh sb="23" eb="24">
      <t>ヒメ</t>
    </rPh>
    <rPh sb="25" eb="27">
      <t>デンショウ</t>
    </rPh>
    <rPh sb="28" eb="30">
      <t>シンピ</t>
    </rPh>
    <rPh sb="31" eb="32">
      <t>ボウ</t>
    </rPh>
    <phoneticPr fontId="1"/>
  </si>
  <si>
    <t>3月龍神杯</t>
    <rPh sb="1" eb="2">
      <t>ガツ</t>
    </rPh>
    <rPh sb="2" eb="4">
      <t>リュウジン</t>
    </rPh>
    <rPh sb="4" eb="5">
      <t>ハイ</t>
    </rPh>
    <phoneticPr fontId="4"/>
  </si>
  <si>
    <t>シロイルカ</t>
  </si>
  <si>
    <t>しろいるか</t>
  </si>
  <si>
    <t>15+?+?+?+?</t>
  </si>
  <si>
    <t>大海に響く鳴き声</t>
  </si>
  <si>
    <t>桃井春蔵</t>
  </si>
  <si>
    <t>もものいしゅんぞう</t>
  </si>
  <si>
    <t>17+?+?+?+?</t>
  </si>
  <si>
    <t>品格随一の剣撃</t>
  </si>
  <si>
    <t>タイプ姫・伝承の防15％UP　/　タイプ【武人】の防15％UP</t>
    <rPh sb="3" eb="4">
      <t>ヒメ</t>
    </rPh>
    <rPh sb="5" eb="7">
      <t>デンショウ</t>
    </rPh>
    <rPh sb="8" eb="9">
      <t>ボウ</t>
    </rPh>
    <rPh sb="21" eb="23">
      <t>タケト</t>
    </rPh>
    <rPh sb="25" eb="26">
      <t>ボウ</t>
    </rPh>
    <phoneticPr fontId="1"/>
  </si>
  <si>
    <t>カヤナルミ</t>
  </si>
  <si>
    <t>かやなるみ</t>
  </si>
  <si>
    <t>16+竜+竜+竜+(15+?+?+?+?,?)</t>
  </si>
  <si>
    <t>本当の私は誰も知らない</t>
  </si>
  <si>
    <t>4月龍神杯？</t>
    <rPh sb="1" eb="2">
      <t>ガツ</t>
    </rPh>
    <rPh sb="2" eb="4">
      <t>リュウジン</t>
    </rPh>
    <rPh sb="4" eb="5">
      <t>ハイ</t>
    </rPh>
    <phoneticPr fontId="4"/>
  </si>
  <si>
    <t>アイヌソッキ</t>
  </si>
  <si>
    <t>あいぬそっき</t>
  </si>
  <si>
    <t>16+?+?+?+?,?</t>
  </si>
  <si>
    <t>恐ろしくも美しい永遠の若さ</t>
  </si>
  <si>
    <t>タイプ神秘・知性派の攻100％DOWN　/　タイプ偉人・名物の防20％UP</t>
  </si>
  <si>
    <t>日蓮</t>
  </si>
  <si>
    <t>にちれん</t>
  </si>
  <si>
    <t>18+竜+竜+竜+(17+竜+11+14+(14(↑15)+?+?+?+?))</t>
    <rPh sb="13" eb="14">
      <t>リュウ</t>
    </rPh>
    <phoneticPr fontId="1"/>
  </si>
  <si>
    <t>未来を予知する者</t>
  </si>
  <si>
    <t>逢魔時</t>
  </si>
  <si>
    <t>おうまがとき</t>
  </si>
  <si>
    <t>17+竜+11+13+(14+?+?+?+?,?,?)</t>
  </si>
  <si>
    <t>神域と葦原を分かつ頃</t>
  </si>
  <si>
    <t>タイプ神秘・知性派の防100％DOWN　/　タイプ偉人・名物の攻20％UP</t>
  </si>
  <si>
    <t>八女抹茶</t>
  </si>
  <si>
    <t>やめまっちゃ</t>
  </si>
  <si>
    <t>18+竜+14+15+(11(↑14)(↑15)+?+?+?+?)</t>
    <phoneticPr fontId="4"/>
  </si>
  <si>
    <t>霧が育む銘茶をどうぞ♪</t>
  </si>
  <si>
    <t>タイプ神秘・知性派の攻40％UP　/　タイプ【飲食】の攻25％UP</t>
  </si>
  <si>
    <t>よこすか海軍カレー</t>
  </si>
  <si>
    <t>よこすかかいぐんかれー</t>
  </si>
  <si>
    <t>大海原より来たりし栄養料理</t>
    <rPh sb="0" eb="3">
      <t>オオウナバラ</t>
    </rPh>
    <rPh sb="5" eb="6">
      <t>キ</t>
    </rPh>
    <rPh sb="9" eb="11">
      <t>エイヨウ</t>
    </rPh>
    <rPh sb="11" eb="13">
      <t>リョウリ</t>
    </rPh>
    <phoneticPr fontId="1"/>
  </si>
  <si>
    <t>タイプ神秘・知性派の防40％UP　/　タイプ【飲食】の防25％UP</t>
  </si>
  <si>
    <t>足利義栄</t>
  </si>
  <si>
    <t>あしかがよしひで</t>
  </si>
  <si>
    <t>17+竜+竜+11+(15+竜+竜+竜+14),15,(15+?+?+?+?,?,?,?,?)</t>
    <phoneticPr fontId="4"/>
  </si>
  <si>
    <t>定めを全うせし一時の光</t>
  </si>
  <si>
    <t>限突強化後?</t>
    <rPh sb="0" eb="1">
      <t>ゲン</t>
    </rPh>
    <rPh sb="1" eb="2">
      <t>トツ</t>
    </rPh>
    <rPh sb="2" eb="4">
      <t>キョウカ</t>
    </rPh>
    <rPh sb="4" eb="5">
      <t>ゴ</t>
    </rPh>
    <phoneticPr fontId="4"/>
  </si>
  <si>
    <t>限界突破1レベルあたり攻630防850</t>
    <rPh sb="0" eb="2">
      <t>ゲンカイ</t>
    </rPh>
    <rPh sb="2" eb="4">
      <t>トッパ</t>
    </rPh>
    <rPh sb="11" eb="12">
      <t>コウ</t>
    </rPh>
    <rPh sb="15" eb="16">
      <t>ボウ</t>
    </rPh>
    <phoneticPr fontId="4"/>
  </si>
  <si>
    <t>狩野探幽</t>
  </si>
  <si>
    <t>かのうたんゆう</t>
    <phoneticPr fontId="4"/>
  </si>
  <si>
    <t>端麗瀟洒な余白の美</t>
    <phoneticPr fontId="4"/>
  </si>
  <si>
    <t>7月龍神杯？</t>
    <rPh sb="1" eb="2">
      <t>ガツ</t>
    </rPh>
    <rPh sb="2" eb="4">
      <t>リュウジン</t>
    </rPh>
    <rPh sb="4" eb="5">
      <t>ハイ</t>
    </rPh>
    <phoneticPr fontId="4"/>
  </si>
  <si>
    <t>中国・四国→西日本</t>
    <rPh sb="0" eb="2">
      <t>チュウゴク</t>
    </rPh>
    <rPh sb="3" eb="5">
      <t>シコク</t>
    </rPh>
    <rPh sb="6" eb="7">
      <t>ニシ</t>
    </rPh>
    <rPh sb="7" eb="9">
      <t>ニホン</t>
    </rPh>
    <phoneticPr fontId="4"/>
  </si>
  <si>
    <t>TKGちゃん</t>
  </si>
  <si>
    <t>たまごかけごはんちゃん</t>
  </si>
  <si>
    <t>18+竜+13+14+(16+竜+11+14+15)</t>
    <rPh sb="3" eb="4">
      <t>リュウ</t>
    </rPh>
    <phoneticPr fontId="1"/>
  </si>
  <si>
    <t>アツアツご飯で召し上がれ♪</t>
    <rPh sb="5" eb="6">
      <t>ハン</t>
    </rPh>
    <rPh sb="7" eb="8">
      <t>メ</t>
    </rPh>
    <rPh sb="9" eb="10">
      <t>ア</t>
    </rPh>
    <phoneticPr fontId="1"/>
  </si>
  <si>
    <t>タイプ神秘・知性派の防25%UP　/　タイプ【飲食】の防10%UP</t>
    <rPh sb="6" eb="8">
      <t>チセイ</t>
    </rPh>
    <rPh sb="8" eb="9">
      <t>ハ</t>
    </rPh>
    <rPh sb="10" eb="11">
      <t>ボウ</t>
    </rPh>
    <rPh sb="23" eb="25">
      <t>インショク</t>
    </rPh>
    <rPh sb="27" eb="28">
      <t>ボウ</t>
    </rPh>
    <phoneticPr fontId="1"/>
  </si>
  <si>
    <t>北条誉姫</t>
  </si>
  <si>
    <t>ほうじょうほまれひめ</t>
  </si>
  <si>
    <t>16+9+14+15+15</t>
  </si>
  <si>
    <t>相模に花咲く鎌倉の姫君</t>
    <rPh sb="0" eb="2">
      <t>サガミ</t>
    </rPh>
    <rPh sb="3" eb="5">
      <t>ハナサ</t>
    </rPh>
    <rPh sb="6" eb="8">
      <t>カマクラ</t>
    </rPh>
    <rPh sb="9" eb="11">
      <t>ヒメギミ</t>
    </rPh>
    <phoneticPr fontId="1"/>
  </si>
  <si>
    <t>タイプ【武人】の攻85％UP　/　タイプ姫・伝承の攻25％UP</t>
    <rPh sb="22" eb="24">
      <t>デンショウ</t>
    </rPh>
    <phoneticPr fontId="1"/>
  </si>
  <si>
    <t>オキクルミ</t>
  </si>
  <si>
    <t>おきくるみ</t>
  </si>
  <si>
    <t>18+竜+14+15+(16+竜+14+14+(14+?+?+?+?)),16,16,16,16</t>
    <rPh sb="3" eb="4">
      <t>リュウ</t>
    </rPh>
    <rPh sb="15" eb="16">
      <t>リュウ</t>
    </rPh>
    <phoneticPr fontId="1"/>
  </si>
  <si>
    <t>天を衝く英雄の矢</t>
  </si>
  <si>
    <t>8月龍神杯？</t>
    <rPh sb="1" eb="2">
      <t>ガツ</t>
    </rPh>
    <rPh sb="2" eb="4">
      <t>リュウジン</t>
    </rPh>
    <rPh sb="4" eb="5">
      <t>ハイ</t>
    </rPh>
    <phoneticPr fontId="4"/>
  </si>
  <si>
    <t>蛇の目傘</t>
  </si>
  <si>
    <t>じゃのめがさ</t>
  </si>
  <si>
    <t>18+12+12+15+(14+?+?+?+?,?,?,?,?),竜,竜,竜,竜</t>
    <rPh sb="33" eb="34">
      <t>リュウ</t>
    </rPh>
    <rPh sb="35" eb="36">
      <t>リュウ</t>
    </rPh>
    <rPh sb="37" eb="38">
      <t>リュウ</t>
    </rPh>
    <rPh sb="39" eb="40">
      <t>リュウ</t>
    </rPh>
    <phoneticPr fontId="1"/>
  </si>
  <si>
    <t>海の底の怪奇</t>
    <rPh sb="0" eb="1">
      <t>ウミ</t>
    </rPh>
    <rPh sb="2" eb="3">
      <t>ソコ</t>
    </rPh>
    <rPh sb="4" eb="6">
      <t>カイキ</t>
    </rPh>
    <phoneticPr fontId="1"/>
  </si>
  <si>
    <t>タイプ武人・姫の攻100％DOWN　/　タイプ偉人・名物の防20％UP</t>
  </si>
  <si>
    <t>神子座</t>
  </si>
  <si>
    <t>みこざ</t>
  </si>
  <si>
    <t>18+竜+竜+14+(16+?+?+?+?,11)</t>
    <rPh sb="3" eb="4">
      <t>リュウ</t>
    </rPh>
    <rPh sb="5" eb="6">
      <t>リュウ</t>
    </rPh>
    <phoneticPr fontId="1"/>
  </si>
  <si>
    <t>舞台の扇子に目をやれば</t>
    <rPh sb="0" eb="2">
      <t>ブタイ</t>
    </rPh>
    <rPh sb="3" eb="5">
      <t>センス</t>
    </rPh>
    <rPh sb="6" eb="7">
      <t>メ</t>
    </rPh>
    <phoneticPr fontId="1"/>
  </si>
  <si>
    <t>タイプ伝承・武人・姫の攻15%UP　/　タイプ神秘・飲食・知性派・妖怪の防25%DOWN</t>
    <rPh sb="3" eb="5">
      <t>デンショウ</t>
    </rPh>
    <rPh sb="6" eb="8">
      <t>ブジン</t>
    </rPh>
    <rPh sb="9" eb="10">
      <t>ヒメ</t>
    </rPh>
    <rPh sb="11" eb="12">
      <t>コウ</t>
    </rPh>
    <rPh sb="23" eb="25">
      <t>シンピ</t>
    </rPh>
    <rPh sb="26" eb="28">
      <t>インショク</t>
    </rPh>
    <rPh sb="29" eb="31">
      <t>チセイ</t>
    </rPh>
    <rPh sb="31" eb="32">
      <t>ハ</t>
    </rPh>
    <rPh sb="33" eb="35">
      <t>ヨウカイ</t>
    </rPh>
    <rPh sb="36" eb="37">
      <t>ボウ</t>
    </rPh>
    <phoneticPr fontId="1"/>
  </si>
  <si>
    <t>大山巌</t>
  </si>
  <si>
    <t>おおやまいわお</t>
    <phoneticPr fontId="4"/>
  </si>
  <si>
    <t>18+竜+竜+14+(14+?+?+?+?,?,?),竜,竜,竜,竜</t>
    <rPh sb="3" eb="4">
      <t>リュウ</t>
    </rPh>
    <rPh sb="5" eb="6">
      <t>リュウ</t>
    </rPh>
    <rPh sb="27" eb="28">
      <t>リュウ</t>
    </rPh>
    <rPh sb="29" eb="30">
      <t>リュウ</t>
    </rPh>
    <rPh sb="31" eb="32">
      <t>リュウ</t>
    </rPh>
    <rPh sb="33" eb="34">
      <t>リュウ</t>
    </rPh>
    <phoneticPr fontId="1"/>
  </si>
  <si>
    <t>免許皆伝の弥助砲術</t>
    <phoneticPr fontId="4"/>
  </si>
  <si>
    <t>9月龍神杯？</t>
    <rPh sb="1" eb="2">
      <t>ガツ</t>
    </rPh>
    <rPh sb="2" eb="4">
      <t>リュウジン</t>
    </rPh>
    <rPh sb="4" eb="5">
      <t>ハイ</t>
    </rPh>
    <phoneticPr fontId="4"/>
  </si>
  <si>
    <t>厨子王</t>
  </si>
  <si>
    <t>ずしおう</t>
  </si>
  <si>
    <t>18+竜+竜+竜+(15+?+?+?+?,?,?),14,16</t>
    <rPh sb="3" eb="4">
      <t>リュウ</t>
    </rPh>
    <rPh sb="5" eb="6">
      <t>リュウ</t>
    </rPh>
    <phoneticPr fontId="4"/>
  </si>
  <si>
    <t>決して途絶えぬ家族の絆</t>
    <rPh sb="0" eb="1">
      <t>ケッ</t>
    </rPh>
    <rPh sb="3" eb="5">
      <t>トダ</t>
    </rPh>
    <rPh sb="7" eb="9">
      <t>カゾク</t>
    </rPh>
    <rPh sb="10" eb="11">
      <t>キズナ</t>
    </rPh>
    <phoneticPr fontId="1"/>
  </si>
  <si>
    <t>長宗我部国親</t>
  </si>
  <si>
    <t>ちょうそかべくにちか</t>
    <phoneticPr fontId="4"/>
  </si>
  <si>
    <t>17(↑19)+竜+竜+15+(15+竜+竜+竜+(14+9+9+10+13)),14</t>
    <rPh sb="8" eb="9">
      <t>リュウ</t>
    </rPh>
    <rPh sb="10" eb="11">
      <t>リュウ</t>
    </rPh>
    <rPh sb="19" eb="20">
      <t>リュウ</t>
    </rPh>
    <rPh sb="21" eb="22">
      <t>リュウ</t>
    </rPh>
    <rPh sb="23" eb="24">
      <t>リュウ</t>
    </rPh>
    <phoneticPr fontId="1"/>
  </si>
  <si>
    <t>南国を駆けし野の虎</t>
    <rPh sb="0" eb="2">
      <t>ナンゴク</t>
    </rPh>
    <rPh sb="3" eb="4">
      <t>カ</t>
    </rPh>
    <rPh sb="6" eb="7">
      <t>ノ</t>
    </rPh>
    <rPh sb="8" eb="9">
      <t>トラ</t>
    </rPh>
    <phoneticPr fontId="1"/>
  </si>
  <si>
    <t>タイプ姫・伝承の攻25％UP　/　タイプ【武人】の攻10％UP</t>
    <rPh sb="3" eb="4">
      <t>ヒメ</t>
    </rPh>
    <rPh sb="5" eb="7">
      <t>デンショウ</t>
    </rPh>
    <rPh sb="8" eb="9">
      <t>コウ</t>
    </rPh>
    <rPh sb="21" eb="23">
      <t>タケト</t>
    </rPh>
    <rPh sb="25" eb="26">
      <t>コウ</t>
    </rPh>
    <phoneticPr fontId="1"/>
  </si>
  <si>
    <t>熊野牟須美神</t>
  </si>
  <si>
    <t>くまのふすみのかみ</t>
  </si>
  <si>
    <t>18+14+15+15+(17+竜+竜+14+(16+9+11+11+(16+竜+竜+竜+14)))</t>
  </si>
  <si>
    <t>熊野に現れし隆隆たる炎神</t>
    <rPh sb="0" eb="2">
      <t>クマノ</t>
    </rPh>
    <rPh sb="3" eb="4">
      <t>アラワ</t>
    </rPh>
    <rPh sb="6" eb="8">
      <t>リュウリュウ</t>
    </rPh>
    <rPh sb="10" eb="11">
      <t>ホノオ</t>
    </rPh>
    <rPh sb="11" eb="12">
      <t>カミ</t>
    </rPh>
    <phoneticPr fontId="1"/>
  </si>
  <si>
    <t>タイプ伝承・武人・姫の防80％DOWN　/　タイプ知性派・飲食の攻25％UP</t>
  </si>
  <si>
    <t>10月龍神杯？</t>
    <rPh sb="2" eb="3">
      <t>ガツ</t>
    </rPh>
    <rPh sb="3" eb="5">
      <t>リュウジン</t>
    </rPh>
    <rPh sb="5" eb="6">
      <t>ハイ</t>
    </rPh>
    <phoneticPr fontId="4"/>
  </si>
  <si>
    <t>いろは坂</t>
  </si>
  <si>
    <t>いろはざか</t>
  </si>
  <si>
    <t>四十八つ曲がった先に</t>
  </si>
  <si>
    <t>タイプ偉人・妖怪・名物の防15％UP　/　タイプ武人・姫・伝承・知性派の攻30％DOWN</t>
  </si>
  <si>
    <t>万里小路局</t>
  </si>
  <si>
    <t>までのこうじのつぼね</t>
  </si>
  <si>
    <t>17+竜+竜+竜+(13+9+竜+竜+9),14,14,16</t>
    <phoneticPr fontId="4"/>
  </si>
  <si>
    <t>筆頭に名を残せし大奥の花</t>
  </si>
  <si>
    <t>11月防衛戦？</t>
    <rPh sb="2" eb="3">
      <t>ガツ</t>
    </rPh>
    <rPh sb="3" eb="6">
      <t>ボウエイセン</t>
    </rPh>
    <phoneticPr fontId="4"/>
  </si>
  <si>
    <t>螺鈿</t>
  </si>
  <si>
    <t>らでん</t>
  </si>
  <si>
    <t>22+竜+竜+竜+(16+竜+14+14+(14+竜+9+10+11),14),14</t>
    <phoneticPr fontId="1"/>
  </si>
  <si>
    <t>虹色に光る細やかな装飾</t>
    <rPh sb="0" eb="2">
      <t>ニジイロ</t>
    </rPh>
    <rPh sb="3" eb="4">
      <t>ヒカ</t>
    </rPh>
    <rPh sb="5" eb="6">
      <t>コマ</t>
    </rPh>
    <rPh sb="9" eb="11">
      <t>ソウショク</t>
    </rPh>
    <phoneticPr fontId="1"/>
  </si>
  <si>
    <t>限界突破1レベルあたり攻850防630</t>
    <phoneticPr fontId="4"/>
  </si>
  <si>
    <t>11月龍神杯？</t>
    <rPh sb="2" eb="3">
      <t>ガツ</t>
    </rPh>
    <rPh sb="3" eb="5">
      <t>リュウジン</t>
    </rPh>
    <rPh sb="5" eb="6">
      <t>ハイ</t>
    </rPh>
    <phoneticPr fontId="4"/>
  </si>
  <si>
    <t>源範頼</t>
  </si>
  <si>
    <t>みなもとののりより</t>
  </si>
  <si>
    <t>18+竜+竜+14+(16+竜+9+10+(10+9+10+10+10)),10</t>
    <rPh sb="3" eb="4">
      <t>リュウ</t>
    </rPh>
    <rPh sb="14" eb="15">
      <t>リュウ</t>
    </rPh>
    <phoneticPr fontId="1"/>
  </si>
  <si>
    <t>大軍を率いて各地を巡る吉見御所</t>
  </si>
  <si>
    <t>タイプ姫・伝承の防25％UP　/　タイプ【武人】の防10％UP</t>
  </si>
  <si>
    <t>狩野永徳</t>
  </si>
  <si>
    <t>かのえいとく</t>
  </si>
  <si>
    <t>18+竜+14+14+(15(14↑)+竜+竜+竜+(10+9)),14,16,17</t>
    <rPh sb="3" eb="4">
      <t>リュウ</t>
    </rPh>
    <phoneticPr fontId="1"/>
  </si>
  <si>
    <t>時代を描く力強い一筆</t>
    <rPh sb="0" eb="2">
      <t>ジダイ</t>
    </rPh>
    <rPh sb="3" eb="4">
      <t>エガ</t>
    </rPh>
    <rPh sb="5" eb="7">
      <t>チカラヅヨ</t>
    </rPh>
    <rPh sb="8" eb="10">
      <t>イッピツ</t>
    </rPh>
    <phoneticPr fontId="1"/>
  </si>
  <si>
    <t>12月防衛戦？</t>
    <rPh sb="2" eb="3">
      <t>ガツ</t>
    </rPh>
    <rPh sb="3" eb="6">
      <t>ボウエイセン</t>
    </rPh>
    <phoneticPr fontId="4"/>
  </si>
  <si>
    <t>味噌煮込みうどん</t>
  </si>
  <si>
    <t>みそにこみうどん</t>
  </si>
  <si>
    <t>豆味噌仕立ての熱～いスープ</t>
  </si>
  <si>
    <t>タイプ神秘・知性派の防45%UP　/　タイプ【飲食】の防15%UP</t>
    <rPh sb="3" eb="5">
      <t>シンピ</t>
    </rPh>
    <rPh sb="6" eb="8">
      <t>チセイ</t>
    </rPh>
    <rPh sb="8" eb="9">
      <t>ハ</t>
    </rPh>
    <rPh sb="10" eb="11">
      <t>ボウ</t>
    </rPh>
    <rPh sb="23" eb="25">
      <t>インショク</t>
    </rPh>
    <rPh sb="27" eb="28">
      <t>ボウ</t>
    </rPh>
    <phoneticPr fontId="1"/>
  </si>
  <si>
    <t>12月龍神杯</t>
    <rPh sb="2" eb="3">
      <t>ガツ</t>
    </rPh>
    <phoneticPr fontId="2"/>
  </si>
  <si>
    <t>曲亭馬琴</t>
  </si>
  <si>
    <t>きょくていばきん</t>
  </si>
  <si>
    <t>20+竜+竜+竜+(16+竜+14+15+(14+10+10+11+(14+9+10+10+14),9,9))</t>
    <rPh sb="3" eb="4">
      <t>リュウ</t>
    </rPh>
    <phoneticPr fontId="4"/>
  </si>
  <si>
    <t>第一人者の選びし言の葉</t>
    <rPh sb="0" eb="4">
      <t>ダイイチニンシャ</t>
    </rPh>
    <rPh sb="5" eb="6">
      <t>エラ</t>
    </rPh>
    <rPh sb="8" eb="9">
      <t>コト</t>
    </rPh>
    <rPh sb="10" eb="11">
      <t>ハ</t>
    </rPh>
    <phoneticPr fontId="1"/>
  </si>
  <si>
    <t>タイプ神秘・知性派・飲食の攻40％UP　/　タイプ神秘・知性派・飲食の防10％DOWN</t>
    <rPh sb="13" eb="14">
      <t>コウ</t>
    </rPh>
    <rPh sb="25" eb="27">
      <t>シンピ</t>
    </rPh>
    <rPh sb="28" eb="30">
      <t>チセイ</t>
    </rPh>
    <rPh sb="30" eb="31">
      <t>ハ</t>
    </rPh>
    <rPh sb="32" eb="34">
      <t>インショク</t>
    </rPh>
    <rPh sb="35" eb="36">
      <t>ボウ</t>
    </rPh>
    <phoneticPr fontId="1"/>
  </si>
  <si>
    <t>容光院</t>
  </si>
  <si>
    <t>ようこういん</t>
  </si>
  <si>
    <t>16+竜+竜+9+(13+竜+10+11+(11+9+10+10+10)),15</t>
    <phoneticPr fontId="4"/>
  </si>
  <si>
    <t>確かに掴んだ幸光とともに</t>
    <rPh sb="0" eb="1">
      <t>タシ</t>
    </rPh>
    <rPh sb="3" eb="4">
      <t>ツカ</t>
    </rPh>
    <rPh sb="6" eb="7">
      <t>シアワ</t>
    </rPh>
    <rPh sb="7" eb="8">
      <t>ヒカリ</t>
    </rPh>
    <phoneticPr fontId="1"/>
  </si>
  <si>
    <t>タイプ【武人】の攻65％UP　/　タイプ姫・伝承の攻35％UP</t>
  </si>
  <si>
    <t>2018年</t>
    <phoneticPr fontId="4"/>
  </si>
  <si>
    <t>1月防衛戦</t>
    <rPh sb="1" eb="2">
      <t>ガツ</t>
    </rPh>
    <phoneticPr fontId="2"/>
  </si>
  <si>
    <t>耳なし芳一</t>
  </si>
  <si>
    <t>みみなしほういち</t>
    <phoneticPr fontId="4"/>
  </si>
  <si>
    <t>引き語る壇ノ浦の悲劇</t>
    <phoneticPr fontId="4"/>
  </si>
  <si>
    <t>タイプ伝承・武人・姫の防15％UP　/　タイプ武人・妖怪・名物・偉人の攻25％DOWN</t>
    <rPh sb="26" eb="28">
      <t>ヨウカイ</t>
    </rPh>
    <rPh sb="29" eb="31">
      <t>メイブツ</t>
    </rPh>
    <rPh sb="32" eb="34">
      <t>イジン</t>
    </rPh>
    <phoneticPr fontId="1"/>
  </si>
  <si>
    <t>1月龍神杯</t>
    <rPh sb="1" eb="2">
      <t>ガツ</t>
    </rPh>
    <phoneticPr fontId="2"/>
  </si>
  <si>
    <t>中部→東日本</t>
    <rPh sb="0" eb="2">
      <t>チュウブ</t>
    </rPh>
    <rPh sb="3" eb="4">
      <t>ヒガシ</t>
    </rPh>
    <rPh sb="4" eb="6">
      <t>ニホン</t>
    </rPh>
    <phoneticPr fontId="1"/>
  </si>
  <si>
    <t>松下乙女</t>
  </si>
  <si>
    <t>まつしたおとめ</t>
  </si>
  <si>
    <t>17+竜+竜+竜+(16+竜+竜+竜+15),14,14,14,14</t>
    <rPh sb="3" eb="4">
      <t>リュウ</t>
    </rPh>
    <rPh sb="13" eb="14">
      <t>リュウ</t>
    </rPh>
    <phoneticPr fontId="1"/>
  </si>
  <si>
    <t>天下の四英傑に添う慈しみ</t>
    <rPh sb="0" eb="2">
      <t>テンカ</t>
    </rPh>
    <rPh sb="3" eb="4">
      <t>ヨン</t>
    </rPh>
    <rPh sb="4" eb="6">
      <t>エイケツ</t>
    </rPh>
    <rPh sb="7" eb="8">
      <t>ソ</t>
    </rPh>
    <rPh sb="9" eb="10">
      <t>イツク</t>
    </rPh>
    <phoneticPr fontId="1"/>
  </si>
  <si>
    <t>タイプ【武人】の防85％UP　/　タイプ姫・伝承の防25％UP</t>
    <rPh sb="8" eb="9">
      <t>ボウ</t>
    </rPh>
    <rPh sb="25" eb="26">
      <t>ボウ</t>
    </rPh>
    <phoneticPr fontId="1"/>
  </si>
  <si>
    <t>近畿→西日本</t>
    <rPh sb="0" eb="2">
      <t>キンキ</t>
    </rPh>
    <rPh sb="3" eb="4">
      <t>ニシ</t>
    </rPh>
    <rPh sb="4" eb="6">
      <t>ニホン</t>
    </rPh>
    <phoneticPr fontId="1"/>
  </si>
  <si>
    <t>はりはり鍋</t>
  </si>
  <si>
    <t>はりはりなべ</t>
  </si>
  <si>
    <t>19+竜+13+15+(17+竜+12+14+16),14</t>
    <rPh sb="3" eb="4">
      <t>リュウ</t>
    </rPh>
    <rPh sb="15" eb="16">
      <t>リュウ</t>
    </rPh>
    <phoneticPr fontId="1"/>
  </si>
  <si>
    <t>浪速庶民のふるさとの味</t>
    <rPh sb="0" eb="2">
      <t>ナニワ</t>
    </rPh>
    <rPh sb="2" eb="4">
      <t>ショミン</t>
    </rPh>
    <rPh sb="10" eb="11">
      <t>アジ</t>
    </rPh>
    <phoneticPr fontId="1"/>
  </si>
  <si>
    <t>タイプ神秘・知性派の防90％DOWN　/　タイプ神秘・知性派・飲食の攻15％UP</t>
  </si>
  <si>
    <t>2月防衛戦</t>
    <rPh sb="1" eb="2">
      <t>ガツ</t>
    </rPh>
    <phoneticPr fontId="2"/>
  </si>
  <si>
    <t>金の神の火</t>
  </si>
  <si>
    <t>かねのかみのひ</t>
  </si>
  <si>
    <t>16+竜+竜+竜+(14+9+14+14+14),14</t>
    <rPh sb="3" eb="4">
      <t>リュウ</t>
    </rPh>
    <rPh sb="5" eb="6">
      <t>リュウ</t>
    </rPh>
    <phoneticPr fontId="1"/>
  </si>
  <si>
    <t>神の金をあなたにあげる</t>
    <rPh sb="0" eb="1">
      <t>カミ</t>
    </rPh>
    <rPh sb="2" eb="3">
      <t>カネ</t>
    </rPh>
    <phoneticPr fontId="1"/>
  </si>
  <si>
    <t>タイプ偉人・名物の攻70％UP　/　タイプ【妖怪】の攻40％UP</t>
    <rPh sb="3" eb="5">
      <t>イジン</t>
    </rPh>
    <rPh sb="6" eb="8">
      <t>メイブツ</t>
    </rPh>
    <rPh sb="9" eb="10">
      <t>コウ</t>
    </rPh>
    <rPh sb="22" eb="24">
      <t>ヨウカイ</t>
    </rPh>
    <rPh sb="26" eb="27">
      <t>コウ</t>
    </rPh>
    <phoneticPr fontId="1"/>
  </si>
  <si>
    <t>2月龍神杯</t>
    <rPh sb="1" eb="2">
      <t>ガツ</t>
    </rPh>
    <phoneticPr fontId="2"/>
  </si>
  <si>
    <t>ユッコルカムイ</t>
  </si>
  <si>
    <t>ゆっこるかむい</t>
  </si>
  <si>
    <t>17+9+9+10+(13+竜+竜+9+10)</t>
  </si>
  <si>
    <t>カムイからの贈り物</t>
  </si>
  <si>
    <t>タイプ【飲食】の防85％UP　/　タイプ神秘・知性派の防25％UP</t>
    <rPh sb="4" eb="6">
      <t>インショク</t>
    </rPh>
    <rPh sb="8" eb="9">
      <t>ボウ</t>
    </rPh>
    <rPh sb="20" eb="22">
      <t>シンピ</t>
    </rPh>
    <rPh sb="23" eb="25">
      <t>チセイ</t>
    </rPh>
    <rPh sb="25" eb="26">
      <t>ハ</t>
    </rPh>
    <rPh sb="27" eb="28">
      <t>ボウ</t>
    </rPh>
    <phoneticPr fontId="1"/>
  </si>
  <si>
    <t>江川英龍</t>
  </si>
  <si>
    <t>えがわひでたつ</t>
  </si>
  <si>
    <t>18+竜+竜+竜+(14+10+9+10+(10+9+9+10+10)),14,15</t>
    <rPh sb="3" eb="4">
      <t>リュウ</t>
    </rPh>
    <rPh sb="5" eb="6">
      <t>リュウ</t>
    </rPh>
    <rPh sb="7" eb="8">
      <t>リュウ</t>
    </rPh>
    <phoneticPr fontId="4"/>
  </si>
  <si>
    <t>水平線に向ける鉄壁の砲術</t>
    <rPh sb="0" eb="3">
      <t>スイヘイセン</t>
    </rPh>
    <rPh sb="4" eb="5">
      <t>ム</t>
    </rPh>
    <rPh sb="7" eb="9">
      <t>テッペキ</t>
    </rPh>
    <rPh sb="10" eb="12">
      <t>ホウジュツ</t>
    </rPh>
    <phoneticPr fontId="1"/>
  </si>
  <si>
    <t>タイプ妖怪・名物の防25％UP　/　タイプ【偉人】の防10％UP</t>
  </si>
  <si>
    <t>3月防衛戦</t>
    <rPh sb="1" eb="2">
      <t>ガツ</t>
    </rPh>
    <phoneticPr fontId="2"/>
  </si>
  <si>
    <t>久坂玄瑞</t>
  </si>
  <si>
    <t>くさかげんずい</t>
    <phoneticPr fontId="4"/>
  </si>
  <si>
    <t>19+竜+竜+竜+16</t>
    <rPh sb="3" eb="4">
      <t>リュウ</t>
    </rPh>
    <rPh sb="5" eb="6">
      <t>リュウ</t>
    </rPh>
    <rPh sb="7" eb="8">
      <t>リュウ</t>
    </rPh>
    <phoneticPr fontId="4"/>
  </si>
  <si>
    <t>尊王攘夷を目指して</t>
    <phoneticPr fontId="4"/>
  </si>
  <si>
    <t>タイプ武人・姫の攻100%DOWN　/　タイプ姫・伝承の防20％UP</t>
    <rPh sb="3" eb="5">
      <t>ブジン</t>
    </rPh>
    <rPh sb="6" eb="7">
      <t>ヒメ</t>
    </rPh>
    <rPh sb="8" eb="9">
      <t>コウ</t>
    </rPh>
    <phoneticPr fontId="1"/>
  </si>
  <si>
    <t>3月龍神杯</t>
    <rPh sb="1" eb="2">
      <t>ガツ</t>
    </rPh>
    <phoneticPr fontId="2"/>
  </si>
  <si>
    <t>ナナちゃん人形</t>
  </si>
  <si>
    <t>ななちゃんにんぎょう</t>
  </si>
  <si>
    <t>21+14+15+16+(19+14+15+16+17),14,14,14,14</t>
    <phoneticPr fontId="1"/>
  </si>
  <si>
    <t>ナナちゃん人形七変化</t>
    <rPh sb="5" eb="7">
      <t>ニンギョウ</t>
    </rPh>
    <rPh sb="7" eb="10">
      <t>シチヘンゲ</t>
    </rPh>
    <phoneticPr fontId="1"/>
  </si>
  <si>
    <t>タイプ偉人・妖怪・名物の攻35％UP　/　タイプ神秘・知性派・飲食の防15％DOWN</t>
    <rPh sb="24" eb="26">
      <t>シンピ</t>
    </rPh>
    <rPh sb="27" eb="29">
      <t>チセイ</t>
    </rPh>
    <rPh sb="29" eb="30">
      <t>ハ</t>
    </rPh>
    <rPh sb="31" eb="33">
      <t>インショク</t>
    </rPh>
    <phoneticPr fontId="1"/>
  </si>
  <si>
    <t>蜜柑はちみつちゃん</t>
  </si>
  <si>
    <t>みかんはちみつちゃん</t>
    <phoneticPr fontId="4"/>
  </si>
  <si>
    <t>16+竜+竜+竜+16,10</t>
    <rPh sb="3" eb="4">
      <t>リュウ</t>
    </rPh>
    <rPh sb="5" eb="6">
      <t>リュウ</t>
    </rPh>
    <phoneticPr fontId="1"/>
  </si>
  <si>
    <t>黄金に輝く爽やかな雫</t>
    <rPh sb="0" eb="2">
      <t>オウゴン</t>
    </rPh>
    <rPh sb="3" eb="4">
      <t>カガヤ</t>
    </rPh>
    <rPh sb="5" eb="6">
      <t>サワ</t>
    </rPh>
    <rPh sb="9" eb="10">
      <t>シズク</t>
    </rPh>
    <phoneticPr fontId="1"/>
  </si>
  <si>
    <t>タイプ神秘・知性派の防45%UP　/　タイプ【飲食】の防20%UP</t>
    <rPh sb="3" eb="5">
      <t>シンピ</t>
    </rPh>
    <rPh sb="6" eb="8">
      <t>チセイ</t>
    </rPh>
    <rPh sb="8" eb="9">
      <t>ハ</t>
    </rPh>
    <rPh sb="10" eb="11">
      <t>ボウ</t>
    </rPh>
    <rPh sb="23" eb="25">
      <t>インショク</t>
    </rPh>
    <rPh sb="27" eb="28">
      <t>ボウ</t>
    </rPh>
    <phoneticPr fontId="1"/>
  </si>
  <si>
    <t>4月防衛戦</t>
    <rPh sb="1" eb="2">
      <t>ガツ</t>
    </rPh>
    <phoneticPr fontId="2"/>
  </si>
  <si>
    <t>木曽義仲</t>
  </si>
  <si>
    <t>きそよしなか</t>
  </si>
  <si>
    <t>18+10+14+14+(16+10+11+14+16)</t>
  </si>
  <si>
    <t>盛者必衰の理</t>
    <rPh sb="0" eb="2">
      <t>ジョウシャ</t>
    </rPh>
    <rPh sb="2" eb="4">
      <t>ヒッスイ</t>
    </rPh>
    <rPh sb="5" eb="6">
      <t>コトワリ</t>
    </rPh>
    <phoneticPr fontId="1"/>
  </si>
  <si>
    <t>タイプ姫・伝承の攻25％UP　/　タイプ【武人】の攻10％UP</t>
    <rPh sb="8" eb="9">
      <t>コウ</t>
    </rPh>
    <rPh sb="25" eb="26">
      <t>コウ</t>
    </rPh>
    <phoneticPr fontId="1"/>
  </si>
  <si>
    <t>4月龍神杯</t>
    <rPh sb="1" eb="2">
      <t>ガツ</t>
    </rPh>
    <phoneticPr fontId="2"/>
  </si>
  <si>
    <t>アメノワカヒコ</t>
  </si>
  <si>
    <t>あめのわかひこ</t>
  </si>
  <si>
    <t>16+10+11+11+(12+10+10+11+12),15</t>
    <phoneticPr fontId="4"/>
  </si>
  <si>
    <t>鳴いた雉は撃たれる運命</t>
    <rPh sb="0" eb="1">
      <t>ナ</t>
    </rPh>
    <rPh sb="3" eb="4">
      <t>キジ</t>
    </rPh>
    <rPh sb="5" eb="6">
      <t>ウ</t>
    </rPh>
    <rPh sb="9" eb="11">
      <t>ウンメイ</t>
    </rPh>
    <phoneticPr fontId="1"/>
  </si>
  <si>
    <t>タイプ伝承・武人・姫の攻80％DOWN　/　タイプ神秘・知性派・飲食の防20％UP</t>
    <rPh sb="11" eb="12">
      <t>コウ</t>
    </rPh>
    <rPh sb="25" eb="27">
      <t>シンピ</t>
    </rPh>
    <rPh sb="35" eb="36">
      <t>ボウ</t>
    </rPh>
    <phoneticPr fontId="1"/>
  </si>
  <si>
    <t>うさぎとかめ</t>
  </si>
  <si>
    <t>19+竜+竜+15+(16+11+10+10+(11+10+10+10+11),10)</t>
    <rPh sb="3" eb="4">
      <t>リュウ</t>
    </rPh>
    <rPh sb="5" eb="6">
      <t>リュウ</t>
    </rPh>
    <phoneticPr fontId="4"/>
  </si>
  <si>
    <t>油断大敵</t>
    <rPh sb="0" eb="4">
      <t>ユダンタイテキ</t>
    </rPh>
    <phoneticPr fontId="1"/>
  </si>
  <si>
    <t>タイプ伝承・武人・姫の防25％UP　/　タイプ武人・姫の攻60％DOWN</t>
    <rPh sb="26" eb="27">
      <t>ヒメ</t>
    </rPh>
    <phoneticPr fontId="1"/>
  </si>
  <si>
    <t>5月防衛戦</t>
    <rPh sb="1" eb="2">
      <t>ガツ</t>
    </rPh>
    <phoneticPr fontId="2"/>
  </si>
  <si>
    <t>村山左近</t>
  </si>
  <si>
    <t>むらやまさこん</t>
  </si>
  <si>
    <t>16+竜+竜+竜+(14+10+11+10+11),14,14,15</t>
    <rPh sb="3" eb="4">
      <t>リュウ</t>
    </rPh>
    <rPh sb="5" eb="6">
      <t>リュウ</t>
    </rPh>
    <rPh sb="7" eb="8">
      <t>リュウ</t>
    </rPh>
    <phoneticPr fontId="4"/>
  </si>
  <si>
    <t>女方舞踊</t>
    <rPh sb="0" eb="1">
      <t>オンナ</t>
    </rPh>
    <rPh sb="1" eb="2">
      <t>ガタ</t>
    </rPh>
    <rPh sb="2" eb="3">
      <t>マイ</t>
    </rPh>
    <rPh sb="3" eb="4">
      <t>オド</t>
    </rPh>
    <phoneticPr fontId="1"/>
  </si>
  <si>
    <t>タイプ神秘・知性派・飲食の防40％UP　/　タイプ神秘・知性派・飲食の攻10％DOWN</t>
  </si>
  <si>
    <t>5月龍神杯</t>
    <rPh sb="1" eb="2">
      <t>ガツ</t>
    </rPh>
    <phoneticPr fontId="2"/>
  </si>
  <si>
    <t>林羅山</t>
  </si>
  <si>
    <t>はやしらざん</t>
  </si>
  <si>
    <t>15+竜+竜+竜+(14+10+10+11+?),10,10,11,14</t>
    <rPh sb="3" eb="4">
      <t>リュウ</t>
    </rPh>
    <rPh sb="5" eb="6">
      <t>リュウ</t>
    </rPh>
    <phoneticPr fontId="4"/>
  </si>
  <si>
    <t>朱子学</t>
    <rPh sb="0" eb="3">
      <t>シュシガク</t>
    </rPh>
    <phoneticPr fontId="1"/>
  </si>
  <si>
    <t>タイプ偉人・妖怪・名物の攻30％UP　/　タイプ神秘・飲食・知性派・伝承の防13％DOWN</t>
    <rPh sb="12" eb="13">
      <t>コウ</t>
    </rPh>
    <rPh sb="24" eb="26">
      <t>シンピ</t>
    </rPh>
    <rPh sb="27" eb="29">
      <t>インショク</t>
    </rPh>
    <rPh sb="37" eb="38">
      <t>ボウ</t>
    </rPh>
    <phoneticPr fontId="1"/>
  </si>
  <si>
    <t>山犬女房</t>
  </si>
  <si>
    <t>やまいぬにょうぼう</t>
  </si>
  <si>
    <t>11+10+11+11+11,10,10,10,10</t>
    <phoneticPr fontId="4"/>
  </si>
  <si>
    <t>山犬の王</t>
    <rPh sb="0" eb="2">
      <t>ヤマイヌ</t>
    </rPh>
    <rPh sb="3" eb="4">
      <t>オウ</t>
    </rPh>
    <phoneticPr fontId="1"/>
  </si>
  <si>
    <t>タイプ伝承・武人・姫の攻15％UP　/　タイプ名物・武人・姫・伝承の防25％DOWN</t>
  </si>
  <si>
    <t>6月防衛戦</t>
    <rPh sb="1" eb="2">
      <t>ガツ</t>
    </rPh>
    <phoneticPr fontId="2"/>
  </si>
  <si>
    <t>高場乱</t>
  </si>
  <si>
    <t>たかばおさむ</t>
  </si>
  <si>
    <t>18+竜+竜+竜+(16+竜+竜+竜+15),10,11,14,14</t>
    <rPh sb="3" eb="4">
      <t>リュウ</t>
    </rPh>
    <rPh sb="5" eb="6">
      <t>リュウ</t>
    </rPh>
    <rPh sb="13" eb="14">
      <t>リュウ</t>
    </rPh>
    <rPh sb="15" eb="16">
      <t>リュウ</t>
    </rPh>
    <rPh sb="17" eb="18">
      <t>リュウ</t>
    </rPh>
    <phoneticPr fontId="4"/>
  </si>
  <si>
    <t>男装帯刀した人参畑の女傑</t>
    <rPh sb="0" eb="2">
      <t>ダンソウ</t>
    </rPh>
    <rPh sb="2" eb="4">
      <t>タイトウ</t>
    </rPh>
    <rPh sb="6" eb="8">
      <t>ニンジン</t>
    </rPh>
    <rPh sb="8" eb="9">
      <t>バタケ</t>
    </rPh>
    <rPh sb="10" eb="12">
      <t>ジョケツ</t>
    </rPh>
    <phoneticPr fontId="1"/>
  </si>
  <si>
    <t>6月龍神杯</t>
    <rPh sb="1" eb="2">
      <t>ガツ</t>
    </rPh>
    <phoneticPr fontId="2"/>
  </si>
  <si>
    <t>琵琶湖</t>
  </si>
  <si>
    <t>びわこ</t>
  </si>
  <si>
    <t>18+竜+10+10+(15+11+11+竜+11)</t>
    <rPh sb="3" eb="4">
      <t>リュウ</t>
    </rPh>
    <rPh sb="21" eb="22">
      <t>リュウ</t>
    </rPh>
    <phoneticPr fontId="1"/>
  </si>
  <si>
    <t>風光明媚な日本一の湖</t>
    <rPh sb="0" eb="2">
      <t>フウコウ</t>
    </rPh>
    <rPh sb="2" eb="4">
      <t>メイビ</t>
    </rPh>
    <rPh sb="5" eb="8">
      <t>ニホンイチ</t>
    </rPh>
    <rPh sb="9" eb="10">
      <t>ミズウミ</t>
    </rPh>
    <phoneticPr fontId="1"/>
  </si>
  <si>
    <t>タイプ偉人・妖怪・名物の攻35％UP　/　タイプ神秘・知性派・飲食の防15％DOWN</t>
  </si>
  <si>
    <t>天狗火</t>
  </si>
  <si>
    <t>てんぐび</t>
  </si>
  <si>
    <t>17+竜+11+(11+10)+(16(15↑)+竜+11+11+15),10,10,11,11</t>
    <rPh sb="3" eb="4">
      <t>リュウ</t>
    </rPh>
    <rPh sb="25" eb="26">
      <t>リュウ</t>
    </rPh>
    <phoneticPr fontId="1"/>
  </si>
  <si>
    <t>暗闇を照らす天狗の炎</t>
  </si>
  <si>
    <t>タイプ偉人・名物の防70％UP　/　タイプ【妖怪】の防40％UP</t>
  </si>
  <si>
    <t>7月防衛戦</t>
    <rPh sb="1" eb="2">
      <t>ガツ</t>
    </rPh>
    <phoneticPr fontId="2"/>
  </si>
  <si>
    <t>関東→東日本</t>
    <rPh sb="0" eb="2">
      <t>カントウ</t>
    </rPh>
    <rPh sb="3" eb="4">
      <t>ヒガシ</t>
    </rPh>
    <rPh sb="4" eb="6">
      <t>ニホン</t>
    </rPh>
    <phoneticPr fontId="1"/>
  </si>
  <si>
    <t>林きむ子</t>
  </si>
  <si>
    <t>はやしきむこ</t>
  </si>
  <si>
    <t>波乱に磨かれた大正美人</t>
    <rPh sb="0" eb="2">
      <t>ハラン</t>
    </rPh>
    <rPh sb="3" eb="4">
      <t>ミガ</t>
    </rPh>
    <rPh sb="7" eb="9">
      <t>タイショウ</t>
    </rPh>
    <rPh sb="9" eb="11">
      <t>ビジン</t>
    </rPh>
    <phoneticPr fontId="1"/>
  </si>
  <si>
    <t>タイプ【武人】の攻85％UP　/　タイプ姫・伝承の攻25％UP</t>
  </si>
  <si>
    <t>7月龍神杯</t>
  </si>
  <si>
    <t>平山成信</t>
  </si>
  <si>
    <t>ひらやまなりのぶ</t>
  </si>
  <si>
    <t>20+竜+竜+竜+(17+竜+11+11+(14+竜+10+11+11),11,11),14,15,16,16</t>
    <phoneticPr fontId="4"/>
  </si>
  <si>
    <t>出世街道突き進む男爵</t>
    <rPh sb="0" eb="2">
      <t>シュッセ</t>
    </rPh>
    <rPh sb="2" eb="4">
      <t>カイドウ</t>
    </rPh>
    <rPh sb="4" eb="5">
      <t>ツ</t>
    </rPh>
    <rPh sb="6" eb="7">
      <t>スス</t>
    </rPh>
    <rPh sb="8" eb="10">
      <t>ダンシャク</t>
    </rPh>
    <phoneticPr fontId="1"/>
  </si>
  <si>
    <t>タイプ妖怪・名物の攻25%UP　/　タイプ【偉人】の攻10%UP</t>
    <rPh sb="3" eb="5">
      <t>ヨウカイ</t>
    </rPh>
    <rPh sb="6" eb="8">
      <t>メイブツ</t>
    </rPh>
    <rPh sb="9" eb="10">
      <t>コウ</t>
    </rPh>
    <rPh sb="22" eb="24">
      <t>イジン</t>
    </rPh>
    <rPh sb="26" eb="27">
      <t>コウ</t>
    </rPh>
    <phoneticPr fontId="1"/>
  </si>
  <si>
    <t>入内雀</t>
  </si>
  <si>
    <t>にゅうないすずめ</t>
  </si>
  <si>
    <t>16+竜+竜+竜+(15+11+11+11+(12+竜+10+11+(11+10))),10,10,11,14</t>
    <rPh sb="3" eb="4">
      <t>リュウ</t>
    </rPh>
    <rPh sb="5" eb="6">
      <t>リュウ</t>
    </rPh>
    <phoneticPr fontId="4"/>
  </si>
  <si>
    <t>雀と化した京への思慕</t>
    <rPh sb="0" eb="1">
      <t>スズメ</t>
    </rPh>
    <rPh sb="2" eb="3">
      <t>カ</t>
    </rPh>
    <rPh sb="5" eb="6">
      <t>キョウ</t>
    </rPh>
    <rPh sb="8" eb="10">
      <t>シボ</t>
    </rPh>
    <phoneticPr fontId="1"/>
  </si>
  <si>
    <t>タイプ伝承・武人・姫の攻80％DOWN　/　タイプ偉人・名物の防50％UP</t>
  </si>
  <si>
    <t>8月防衛戦</t>
    <rPh sb="1" eb="2">
      <t>ガツ</t>
    </rPh>
    <rPh sb="2" eb="5">
      <t>ボウエイセン</t>
    </rPh>
    <phoneticPr fontId="2"/>
  </si>
  <si>
    <t>陸奥宗光</t>
  </si>
  <si>
    <t>むつむねみつ</t>
  </si>
  <si>
    <t>17+竜+竜+10+(15+竜+竜+10+15),14</t>
    <rPh sb="3" eb="4">
      <t>リュウ</t>
    </rPh>
    <rPh sb="5" eb="6">
      <t>リュウ</t>
    </rPh>
    <phoneticPr fontId="1"/>
  </si>
  <si>
    <t>電光石火のカミソリ大臣</t>
    <rPh sb="0" eb="4">
      <t>デンコウセッカ</t>
    </rPh>
    <rPh sb="9" eb="11">
      <t>ダイジン</t>
    </rPh>
    <phoneticPr fontId="1"/>
  </si>
  <si>
    <t>タイプ妖怪・名物の攻50％UP　/　タイプ【偉人】の攻35％UP</t>
  </si>
  <si>
    <t>山崎片家</t>
  </si>
  <si>
    <t>やまざきかたいえ</t>
  </si>
  <si>
    <t>17+竜+10+11+(15+竜+10+(14+竜)+(15(14↑)+竜+10+11+(11+竜))),10,11,11,12</t>
    <rPh sb="24" eb="25">
      <t>リュウ</t>
    </rPh>
    <phoneticPr fontId="1"/>
  </si>
  <si>
    <t>時流を読む才覚の将</t>
  </si>
  <si>
    <t>タイプ姫・伝承の攻25％UP　/　タイプ【武人】の攻10％UP</t>
  </si>
  <si>
    <t>9月防衛戦</t>
    <rPh sb="1" eb="2">
      <t>ガツ</t>
    </rPh>
    <rPh sb="2" eb="5">
      <t>ボウエイセン</t>
    </rPh>
    <phoneticPr fontId="2"/>
  </si>
  <si>
    <t>天之冬衣神</t>
  </si>
  <si>
    <t>あめのふゆきぬのかみ</t>
    <phoneticPr fontId="4"/>
  </si>
  <si>
    <t>14+10+11+11+11</t>
  </si>
  <si>
    <t>ー</t>
    <phoneticPr fontId="4"/>
  </si>
  <si>
    <t>能登平定した守護神</t>
    <phoneticPr fontId="4"/>
  </si>
  <si>
    <t>9月四神戦</t>
    <rPh sb="1" eb="2">
      <t>ガツ</t>
    </rPh>
    <rPh sb="2" eb="3">
      <t>ヨン</t>
    </rPh>
    <rPh sb="3" eb="4">
      <t>シン</t>
    </rPh>
    <rPh sb="4" eb="5">
      <t>セン</t>
    </rPh>
    <phoneticPr fontId="2"/>
  </si>
  <si>
    <t>泣銀杏</t>
  </si>
  <si>
    <t>なきぎんなん</t>
  </si>
  <si>
    <t>15+10+10+11+11,10,10</t>
    <phoneticPr fontId="4"/>
  </si>
  <si>
    <t>小袖一振</t>
  </si>
  <si>
    <t>タイプ伝承・武人・姫の防30％UP　/　タイプ妖怪・名物・偉人・知性派の攻13％DOWN</t>
  </si>
  <si>
    <t>西日本→全国</t>
    <rPh sb="0" eb="1">
      <t>ニシ</t>
    </rPh>
    <rPh sb="1" eb="3">
      <t>ニホン</t>
    </rPh>
    <phoneticPr fontId="1"/>
  </si>
  <si>
    <t>徳川則子</t>
  </si>
  <si>
    <t>とくがわのりこ</t>
    <phoneticPr fontId="4"/>
  </si>
  <si>
    <t>19+10+10+(12+10)+(17+10+10+11+15),10,10,11</t>
    <phoneticPr fontId="4"/>
  </si>
  <si>
    <t>心安らぐ和歌の道</t>
    <phoneticPr fontId="4"/>
  </si>
  <si>
    <t>タイプ【武人】の防75％UP　/　タイプ姫・伝承の防30％UP</t>
  </si>
  <si>
    <t>10月防衛戦</t>
    <rPh sb="2" eb="3">
      <t>ガツ</t>
    </rPh>
    <rPh sb="3" eb="6">
      <t>ボウエイセン</t>
    </rPh>
    <phoneticPr fontId="4"/>
  </si>
  <si>
    <t>八幡馬</t>
  </si>
  <si>
    <t>やわたうま</t>
    <phoneticPr fontId="4"/>
  </si>
  <si>
    <t>16+竜+12+12+15</t>
    <rPh sb="3" eb="4">
      <t>リュウ</t>
    </rPh>
    <phoneticPr fontId="4"/>
  </si>
  <si>
    <t>込められた愛馬への祈り</t>
    <rPh sb="0" eb="1">
      <t>コ</t>
    </rPh>
    <rPh sb="5" eb="7">
      <t>アイバ</t>
    </rPh>
    <rPh sb="9" eb="10">
      <t>イノ</t>
    </rPh>
    <phoneticPr fontId="4"/>
  </si>
  <si>
    <t>10月四神戦</t>
    <rPh sb="2" eb="3">
      <t>ガツ</t>
    </rPh>
    <rPh sb="3" eb="4">
      <t>ヨン</t>
    </rPh>
    <rPh sb="4" eb="5">
      <t>シン</t>
    </rPh>
    <rPh sb="5" eb="6">
      <t>セン</t>
    </rPh>
    <phoneticPr fontId="2"/>
  </si>
  <si>
    <t>【湯けむり】五龍局</t>
  </si>
  <si>
    <t>ゆけむりごりゅうのつぼね</t>
    <phoneticPr fontId="4"/>
  </si>
  <si>
    <t>17+竜+竜+15+(16+竜+11+12+(15+竜+11+11+12)),11,11,11,11</t>
    <rPh sb="3" eb="4">
      <t>リュウ</t>
    </rPh>
    <rPh sb="5" eb="6">
      <t>リュウ</t>
    </rPh>
    <phoneticPr fontId="4"/>
  </si>
  <si>
    <t>秘湯とお酒で大開放♪</t>
    <phoneticPr fontId="4"/>
  </si>
  <si>
    <t>10月サイコロ</t>
    <rPh sb="2" eb="3">
      <t>ガツ</t>
    </rPh>
    <phoneticPr fontId="4"/>
  </si>
  <si>
    <t>いがめんち</t>
  </si>
  <si>
    <t>いがめんち</t>
    <phoneticPr fontId="4"/>
  </si>
  <si>
    <t>イカと愛情たっぷり母の味</t>
    <phoneticPr fontId="4"/>
  </si>
  <si>
    <t>【白衣の天使】荻野吟子</t>
  </si>
  <si>
    <t>はくいのてんしおぎのぎんこ</t>
    <phoneticPr fontId="4"/>
  </si>
  <si>
    <t>22+竜+竜+竜+(17+竜+11+12+(12+竜+竜+竜+11)),14,14,15</t>
    <phoneticPr fontId="4"/>
  </si>
  <si>
    <t>道を拓く天使の信念</t>
    <phoneticPr fontId="4"/>
  </si>
  <si>
    <t>11月四神戦</t>
    <rPh sb="2" eb="3">
      <t>ガツ</t>
    </rPh>
    <rPh sb="3" eb="4">
      <t>ヨン</t>
    </rPh>
    <rPh sb="4" eb="5">
      <t>シン</t>
    </rPh>
    <rPh sb="5" eb="6">
      <t>セン</t>
    </rPh>
    <phoneticPr fontId="4"/>
  </si>
  <si>
    <t>西日本→全国</t>
    <rPh sb="0" eb="3">
      <t>ニシニホン</t>
    </rPh>
    <rPh sb="4" eb="6">
      <t>ゼンコク</t>
    </rPh>
    <phoneticPr fontId="4"/>
  </si>
  <si>
    <t>【茶屋むすめ】ワカルヒメノミコト</t>
  </si>
  <si>
    <t>ちゃやむすめわかるひめのみこと</t>
    <phoneticPr fontId="4"/>
  </si>
  <si>
    <t>18+竜+11+12+(17+竜+11+12+15),11</t>
    <rPh sb="3" eb="4">
      <t>リュウ</t>
    </rPh>
    <rPh sb="15" eb="16">
      <t>リュウ</t>
    </rPh>
    <phoneticPr fontId="4"/>
  </si>
  <si>
    <t>癒し与える太陽の女神</t>
    <phoneticPr fontId="4"/>
  </si>
  <si>
    <t>11月サイコロ</t>
    <rPh sb="2" eb="3">
      <t>ガツ</t>
    </rPh>
    <phoneticPr fontId="4"/>
  </si>
  <si>
    <t>【白衣の天使】ヘビガミ</t>
  </si>
  <si>
    <t>はくいのてんしへびがみ</t>
    <phoneticPr fontId="4"/>
  </si>
  <si>
    <t>15+竜+11+(12+12)+(15+竜+10+12+(15(12↑)+竜+11+11+12))</t>
    <phoneticPr fontId="4"/>
  </si>
  <si>
    <t>死と再生を見つめる白蛇</t>
    <phoneticPr fontId="4"/>
  </si>
  <si>
    <t>タイプ武人・姫の攻100％DOWN　/　タイプ姫・伝承の防20％UP</t>
  </si>
  <si>
    <t>【料理バトル】ウカノミタマノカミ</t>
  </si>
  <si>
    <t>りょうりばとるうかのみたまのかみ</t>
    <phoneticPr fontId="4"/>
  </si>
  <si>
    <t>17+竜+竜+12+(16+竜+11+12+16)</t>
    <rPh sb="3" eb="4">
      <t>リュウ</t>
    </rPh>
    <rPh sb="5" eb="6">
      <t>リュウ</t>
    </rPh>
    <rPh sb="14" eb="15">
      <t>リュウ</t>
    </rPh>
    <phoneticPr fontId="4"/>
  </si>
  <si>
    <t>全国的カリスマ料理神</t>
    <phoneticPr fontId="4"/>
  </si>
  <si>
    <t>12月四神戦</t>
    <rPh sb="2" eb="3">
      <t>ガツ</t>
    </rPh>
    <rPh sb="3" eb="4">
      <t>ヨン</t>
    </rPh>
    <rPh sb="4" eb="5">
      <t>シン</t>
    </rPh>
    <rPh sb="5" eb="6">
      <t>セン</t>
    </rPh>
    <phoneticPr fontId="4"/>
  </si>
  <si>
    <t>【料理バトル】中野竹子</t>
  </si>
  <si>
    <t>りょうりばとるなかのたけこ</t>
    <phoneticPr fontId="4"/>
  </si>
  <si>
    <t>16+竜+11+12+15,11,11,12</t>
    <rPh sb="3" eb="4">
      <t>リュウ</t>
    </rPh>
    <phoneticPr fontId="4"/>
  </si>
  <si>
    <t>免許皆伝の包丁さばき</t>
    <phoneticPr fontId="4"/>
  </si>
  <si>
    <t>タイプ伝承・武人・姫の防20％UP</t>
    <phoneticPr fontId="4"/>
  </si>
  <si>
    <t>12月サイコロ</t>
    <rPh sb="2" eb="3">
      <t>ガツ</t>
    </rPh>
    <phoneticPr fontId="4"/>
  </si>
  <si>
    <t>自在のインプ</t>
  </si>
  <si>
    <t>じざいのいんぷ</t>
    <phoneticPr fontId="4"/>
  </si>
  <si>
    <t>17+竜+11+(14+竜+11+12)+(14(↑16+竜)+竜+10+12+12)),11,12,12,12</t>
    <rPh sb="3" eb="4">
      <t>リュウ</t>
    </rPh>
    <rPh sb="29" eb="30">
      <t>リュウ</t>
    </rPh>
    <rPh sb="32" eb="33">
      <t>リュウ</t>
    </rPh>
    <phoneticPr fontId="4"/>
  </si>
  <si>
    <t>お気に召すまま</t>
    <phoneticPr fontId="4"/>
  </si>
  <si>
    <t>1月防衛戦</t>
    <rPh sb="1" eb="2">
      <t>ガツ</t>
    </rPh>
    <rPh sb="2" eb="5">
      <t>ボウエイセン</t>
    </rPh>
    <phoneticPr fontId="4"/>
  </si>
  <si>
    <t>【Yシャツ】赤井輝子</t>
  </si>
  <si>
    <t>わいしゃつあかいてるこ</t>
    <phoneticPr fontId="4"/>
  </si>
  <si>
    <t>16+竜+竜+竜+(14+竜+11+12+12),15</t>
    <rPh sb="3" eb="4">
      <t>リュウ</t>
    </rPh>
    <rPh sb="5" eb="6">
      <t>リュウ</t>
    </rPh>
    <rPh sb="7" eb="8">
      <t>リュウ</t>
    </rPh>
    <phoneticPr fontId="4"/>
  </si>
  <si>
    <t>白き衣の戦乙女</t>
    <phoneticPr fontId="4"/>
  </si>
  <si>
    <t>タイプ伝承・武人・姫の攻20％UP</t>
    <phoneticPr fontId="4"/>
  </si>
  <si>
    <t>1月四神戦</t>
    <rPh sb="1" eb="2">
      <t>ガツ</t>
    </rPh>
    <rPh sb="2" eb="3">
      <t>ヨン</t>
    </rPh>
    <rPh sb="3" eb="4">
      <t>シン</t>
    </rPh>
    <rPh sb="4" eb="5">
      <t>セン</t>
    </rPh>
    <phoneticPr fontId="4"/>
  </si>
  <si>
    <t>【Yシャツ】小野小町</t>
  </si>
  <si>
    <t>わいしゃつおののこまち</t>
    <phoneticPr fontId="4"/>
  </si>
  <si>
    <t>17+竜+竜+12+(14+竜+竜+12+12),11,11,12,12</t>
    <rPh sb="3" eb="4">
      <t>リュウ</t>
    </rPh>
    <rPh sb="5" eb="6">
      <t>リュウ</t>
    </rPh>
    <rPh sb="14" eb="15">
      <t>リュウ</t>
    </rPh>
    <rPh sb="16" eb="17">
      <t>リュウ</t>
    </rPh>
    <phoneticPr fontId="4"/>
  </si>
  <si>
    <t>稀代の恋愛ソング小町</t>
    <phoneticPr fontId="4"/>
  </si>
  <si>
    <t>1月サイコロ</t>
    <rPh sb="1" eb="2">
      <t>ガツ</t>
    </rPh>
    <phoneticPr fontId="4"/>
  </si>
  <si>
    <t>【Yシャツ】TKGちゃん</t>
  </si>
  <si>
    <t>わいしゃつたまごかけごはんちゃん</t>
    <phoneticPr fontId="4"/>
  </si>
  <si>
    <t>目覚めの特効薬TKG</t>
    <phoneticPr fontId="4"/>
  </si>
  <si>
    <t>【CA】黒比売</t>
  </si>
  <si>
    <t>きゃびんあてんだんとくろひめ</t>
    <phoneticPr fontId="4"/>
  </si>
  <si>
    <t>20+竜+竜+竜+(12+竜+竜+竜+12),11,12</t>
    <rPh sb="3" eb="4">
      <t>リュウ</t>
    </rPh>
    <rPh sb="5" eb="6">
      <t>リュウ</t>
    </rPh>
    <rPh sb="7" eb="8">
      <t>リュウ</t>
    </rPh>
    <phoneticPr fontId="4"/>
  </si>
  <si>
    <t>恋を載せた銀翼</t>
    <phoneticPr fontId="4"/>
  </si>
  <si>
    <t>2月四神戦</t>
    <rPh sb="1" eb="2">
      <t>ガツ</t>
    </rPh>
    <rPh sb="2" eb="3">
      <t>ヨン</t>
    </rPh>
    <rPh sb="3" eb="4">
      <t>シン</t>
    </rPh>
    <rPh sb="4" eb="5">
      <t>セン</t>
    </rPh>
    <phoneticPr fontId="4"/>
  </si>
  <si>
    <t>【CA】スケバン</t>
  </si>
  <si>
    <t>きゃびんあてんだんとすけばん</t>
    <phoneticPr fontId="4"/>
  </si>
  <si>
    <t>18+竜+竜+12+16,11,11,11,11</t>
    <rPh sb="3" eb="4">
      <t>リュウ</t>
    </rPh>
    <rPh sb="5" eb="6">
      <t>リュウ</t>
    </rPh>
    <phoneticPr fontId="4"/>
  </si>
  <si>
    <t>女番長の機内サービス</t>
    <phoneticPr fontId="4"/>
  </si>
  <si>
    <t>2月サイコロ</t>
    <rPh sb="1" eb="2">
      <t>ガツ</t>
    </rPh>
    <phoneticPr fontId="4"/>
  </si>
  <si>
    <t>【CA】福姫</t>
  </si>
  <si>
    <t>きゃびんあてんだんとふくひめ</t>
    <phoneticPr fontId="4"/>
  </si>
  <si>
    <t>20+竜+竜+竜+(16+竜+10+11+(11+竜+11+11+11))</t>
    <rPh sb="3" eb="4">
      <t>リュウ</t>
    </rPh>
    <rPh sb="5" eb="6">
      <t>リュウ</t>
    </rPh>
    <rPh sb="7" eb="8">
      <t>リュウ</t>
    </rPh>
    <phoneticPr fontId="4"/>
  </si>
  <si>
    <t>繊細な気配り</t>
    <phoneticPr fontId="4"/>
  </si>
  <si>
    <t>【アサシンスクール】天魔</t>
  </si>
  <si>
    <t>あさしんすくーるてんま</t>
    <phoneticPr fontId="4"/>
  </si>
  <si>
    <t>煩悩操る天魔の刀</t>
    <phoneticPr fontId="4"/>
  </si>
  <si>
    <t>3月四神戦</t>
    <rPh sb="1" eb="2">
      <t>ガツ</t>
    </rPh>
    <phoneticPr fontId="4"/>
  </si>
  <si>
    <t>【アサシンスクール】常山御前</t>
  </si>
  <si>
    <t>あさしんすくーるつねやまごぜん</t>
    <phoneticPr fontId="4"/>
  </si>
  <si>
    <t>廃墟に佇む女戦士</t>
    <phoneticPr fontId="4"/>
  </si>
  <si>
    <t>3月サイコロ</t>
    <rPh sb="1" eb="2">
      <t>ガツ</t>
    </rPh>
    <phoneticPr fontId="4"/>
  </si>
  <si>
    <t>果実酒のヘーベー</t>
  </si>
  <si>
    <t>かじつしゅのへーべー</t>
    <phoneticPr fontId="4"/>
  </si>
  <si>
    <t>神々に捧ぐ愛と青春</t>
    <phoneticPr fontId="4"/>
  </si>
  <si>
    <t>タイプ神秘・知性派の防45％UP　/　タイプ【飲食】の防20％UP</t>
  </si>
  <si>
    <t>4月防衛戦</t>
    <rPh sb="1" eb="2">
      <t>ガツ</t>
    </rPh>
    <rPh sb="2" eb="5">
      <t>ボウエイセン</t>
    </rPh>
    <phoneticPr fontId="4"/>
  </si>
  <si>
    <t>【ギャル】力持ち幽霊</t>
  </si>
  <si>
    <t>ぎゃるちからもちゆうれい</t>
    <phoneticPr fontId="4"/>
  </si>
  <si>
    <t>力持ちギャルの執念</t>
    <phoneticPr fontId="4"/>
  </si>
  <si>
    <t>4月四神戦</t>
    <rPh sb="1" eb="2">
      <t>ガツ</t>
    </rPh>
    <phoneticPr fontId="4"/>
  </si>
  <si>
    <t>チェス</t>
  </si>
  <si>
    <t>ちぇす</t>
    <phoneticPr fontId="4"/>
  </si>
  <si>
    <t>逆転の一手</t>
    <rPh sb="0" eb="2">
      <t>ギャクテン</t>
    </rPh>
    <rPh sb="3" eb="5">
      <t>イッテ</t>
    </rPh>
    <phoneticPr fontId="4"/>
  </si>
  <si>
    <t>4月サイコロ</t>
    <rPh sb="1" eb="2">
      <t>ガツ</t>
    </rPh>
    <phoneticPr fontId="4"/>
  </si>
  <si>
    <t>電荷研究者ゲンナイ</t>
  </si>
  <si>
    <t>でんかけんきゅうしゃげんない</t>
    <phoneticPr fontId="4"/>
  </si>
  <si>
    <t>エレキテル放電</t>
    <phoneticPr fontId="4"/>
  </si>
  <si>
    <t>5月防衛戦</t>
    <rPh sb="1" eb="2">
      <t>ガツ</t>
    </rPh>
    <rPh sb="2" eb="5">
      <t>ボウエイセン</t>
    </rPh>
    <phoneticPr fontId="4"/>
  </si>
  <si>
    <t>【五月病】豪姫</t>
  </si>
  <si>
    <t>ごがつびょうごうひめ</t>
    <phoneticPr fontId="4"/>
  </si>
  <si>
    <t>女関白のぐうたら休暇</t>
    <phoneticPr fontId="4"/>
  </si>
  <si>
    <t>5月四神戦</t>
    <rPh sb="1" eb="2">
      <t>ガツ</t>
    </rPh>
    <phoneticPr fontId="4"/>
  </si>
  <si>
    <t>人魚塚</t>
  </si>
  <si>
    <t>にんぎょづか</t>
    <phoneticPr fontId="4"/>
  </si>
  <si>
    <t>最古の人魚伝説</t>
    <phoneticPr fontId="4"/>
  </si>
  <si>
    <t>5月サイコロ</t>
    <rPh sb="1" eb="2">
      <t>ガツ</t>
    </rPh>
    <phoneticPr fontId="4"/>
  </si>
  <si>
    <t>イワポソインカラ</t>
  </si>
  <si>
    <t>いわぽそいんから</t>
    <phoneticPr fontId="4"/>
  </si>
  <si>
    <t>13+11+11+12+12,10,11</t>
    <phoneticPr fontId="4"/>
  </si>
  <si>
    <t>キミに悪戯してやる！</t>
    <phoneticPr fontId="4"/>
  </si>
  <si>
    <t>6月防衛戦</t>
    <rPh sb="1" eb="2">
      <t>ガツ</t>
    </rPh>
    <rPh sb="2" eb="5">
      <t>ボウエイセン</t>
    </rPh>
    <phoneticPr fontId="4"/>
  </si>
  <si>
    <t>【ジューンブライド】羽仁もと子</t>
  </si>
  <si>
    <t>じゅーんぶらいどはにもとこ</t>
    <phoneticPr fontId="4"/>
  </si>
  <si>
    <t>14+11+11+13+14</t>
    <phoneticPr fontId="4"/>
  </si>
  <si>
    <t>読書三昧の花嫁記者</t>
    <phoneticPr fontId="4"/>
  </si>
  <si>
    <t>6月四神戦</t>
    <rPh sb="1" eb="2">
      <t>ガツ</t>
    </rPh>
    <phoneticPr fontId="4"/>
  </si>
  <si>
    <t>【星座】シオマネキ</t>
  </si>
  <si>
    <t>せいざしおまねき</t>
  </si>
  <si>
    <t>17+竜+12+13+13,11,11,12,12</t>
    <rPh sb="3" eb="4">
      <t>リュウ</t>
    </rPh>
    <phoneticPr fontId="4"/>
  </si>
  <si>
    <t>シザーウェービング</t>
  </si>
  <si>
    <t>タイプ偉人・妖怪の攻40％UP　/　タイプ【名物】の攻25％UP</t>
  </si>
  <si>
    <t>6月サイコロ</t>
    <rPh sb="1" eb="2">
      <t>ガツ</t>
    </rPh>
    <phoneticPr fontId="4"/>
  </si>
  <si>
    <t>ヴェルザンディ</t>
  </si>
  <si>
    <t>べるざんでぃ</t>
    <phoneticPr fontId="4"/>
  </si>
  <si>
    <t>15+12+12+12+14,10,11,11,11</t>
    <phoneticPr fontId="4"/>
  </si>
  <si>
    <t>定められし運命の糸</t>
    <phoneticPr fontId="4"/>
  </si>
  <si>
    <t>タイプ【飲食】の攻85％UP　/　タイプ神秘・知性派の攻25％UP</t>
  </si>
  <si>
    <t>7月防衛戦</t>
    <rPh sb="1" eb="2">
      <t>ガツ</t>
    </rPh>
    <rPh sb="2" eb="5">
      <t>ボウエイセン</t>
    </rPh>
    <phoneticPr fontId="4"/>
  </si>
  <si>
    <t>【七夕】萬翠荘</t>
  </si>
  <si>
    <t>たなばたばんすいそう</t>
    <phoneticPr fontId="4"/>
  </si>
  <si>
    <t>15+竜+11+11+13</t>
    <rPh sb="3" eb="4">
      <t>リュウ</t>
    </rPh>
    <phoneticPr fontId="4"/>
  </si>
  <si>
    <t>星に願う愛の浪漫館</t>
    <phoneticPr fontId="4"/>
  </si>
  <si>
    <t>7月四神戦</t>
    <rPh sb="1" eb="2">
      <t>ガツ</t>
    </rPh>
    <phoneticPr fontId="4"/>
  </si>
  <si>
    <t>メルブレア</t>
  </si>
  <si>
    <t>めるぶれあ</t>
    <phoneticPr fontId="4"/>
  </si>
  <si>
    <t>18+竜+12+14+18,11,11,11,12</t>
    <rPh sb="3" eb="4">
      <t>リュウ</t>
    </rPh>
    <phoneticPr fontId="4"/>
  </si>
  <si>
    <t>可憐な欲深ハンター</t>
    <phoneticPr fontId="4"/>
  </si>
  <si>
    <t>7月サイコロ</t>
    <rPh sb="1" eb="2">
      <t>ガツ</t>
    </rPh>
    <phoneticPr fontId="4"/>
  </si>
  <si>
    <t>【料理バトル】ひだる神</t>
  </si>
  <si>
    <t>りょうりばとるひだるかみ</t>
    <phoneticPr fontId="4"/>
  </si>
  <si>
    <t>最高の調味料を味方に</t>
    <phoneticPr fontId="4"/>
  </si>
  <si>
    <t>タイプ偉人・名物の防25％UP　/　タイプ【妖怪】の防10％UP</t>
  </si>
  <si>
    <t>8月防衛戦</t>
    <rPh sb="1" eb="2">
      <t>ガツ</t>
    </rPh>
    <rPh sb="2" eb="5">
      <t>ボウエイセン</t>
    </rPh>
    <phoneticPr fontId="4"/>
  </si>
  <si>
    <t>東日本→全国</t>
    <rPh sb="0" eb="1">
      <t>ヒガシ</t>
    </rPh>
    <rPh sb="1" eb="3">
      <t>ニホン</t>
    </rPh>
    <rPh sb="4" eb="6">
      <t>ゼンコク</t>
    </rPh>
    <phoneticPr fontId="4"/>
  </si>
  <si>
    <t>【恐怖の病棟】白鶴</t>
  </si>
  <si>
    <t>きょうふのびょうとうはくつる</t>
    <phoneticPr fontId="4"/>
  </si>
  <si>
    <t>廃病院の異類恐怖譚</t>
    <phoneticPr fontId="4"/>
  </si>
  <si>
    <t>8月四神戦</t>
    <rPh sb="1" eb="2">
      <t>ガツ</t>
    </rPh>
    <rPh sb="2" eb="3">
      <t>ヨン</t>
    </rPh>
    <rPh sb="3" eb="4">
      <t>シン</t>
    </rPh>
    <rPh sb="4" eb="5">
      <t>セン</t>
    </rPh>
    <phoneticPr fontId="4"/>
  </si>
  <si>
    <t>アイスマジシャン</t>
  </si>
  <si>
    <t>あいすまじしゃん</t>
    <phoneticPr fontId="4"/>
  </si>
  <si>
    <t>フレーバーマジック</t>
    <phoneticPr fontId="4"/>
  </si>
  <si>
    <t>8月サイコロ</t>
    <rPh sb="1" eb="2">
      <t>ガツ</t>
    </rPh>
    <phoneticPr fontId="4"/>
  </si>
  <si>
    <t>パラケルステラ</t>
  </si>
  <si>
    <t>ぱらけるすてら</t>
    <phoneticPr fontId="4"/>
  </si>
  <si>
    <t>書物の世界</t>
    <phoneticPr fontId="4"/>
  </si>
  <si>
    <t>9月防衛戦</t>
    <rPh sb="1" eb="2">
      <t>ガツ</t>
    </rPh>
    <rPh sb="2" eb="5">
      <t>ボウエイセン</t>
    </rPh>
    <phoneticPr fontId="4"/>
  </si>
  <si>
    <t>【遊園地ハザード】エヒメノミコト</t>
  </si>
  <si>
    <t>ゆうえんちはざーどえひめのみこと</t>
    <phoneticPr fontId="4"/>
  </si>
  <si>
    <t>16+竜+11+12+14</t>
    <rPh sb="3" eb="4">
      <t>リュウ</t>
    </rPh>
    <phoneticPr fontId="4"/>
  </si>
  <si>
    <t>遊園地から愛を込めて</t>
    <phoneticPr fontId="4"/>
  </si>
  <si>
    <t>9月四神戦</t>
    <rPh sb="1" eb="2">
      <t>ガツ</t>
    </rPh>
    <rPh sb="2" eb="3">
      <t>ヨン</t>
    </rPh>
    <rPh sb="3" eb="4">
      <t>シン</t>
    </rPh>
    <rPh sb="4" eb="5">
      <t>セン</t>
    </rPh>
    <phoneticPr fontId="4"/>
  </si>
  <si>
    <t>マダム・バタフライ</t>
  </si>
  <si>
    <t>まだむばたふらい</t>
  </si>
  <si>
    <t>14+竜+竜+竜+13,11,11,12,12</t>
    <rPh sb="3" eb="4">
      <t>リュウ</t>
    </rPh>
    <rPh sb="5" eb="6">
      <t>リュウ</t>
    </rPh>
    <rPh sb="7" eb="8">
      <t>リュウ</t>
    </rPh>
    <phoneticPr fontId="4"/>
  </si>
  <si>
    <t>蝶々凝聚</t>
  </si>
  <si>
    <t>タイプ【武人】の攻75％UP　/　タイプ姫・伝承の攻15％UP</t>
  </si>
  <si>
    <t>9月サイコロ</t>
    <rPh sb="1" eb="2">
      <t>ガツ</t>
    </rPh>
    <phoneticPr fontId="4"/>
  </si>
  <si>
    <t>虹色の魔術師テンチャ</t>
  </si>
  <si>
    <t>にじいろのまじゅつしてんちゃ</t>
  </si>
  <si>
    <t>雨上がりの虹</t>
  </si>
  <si>
    <t>タイプ神秘・飲食の攻25％UP　/　タイプ【知性派】の攻10％UP</t>
  </si>
  <si>
    <t>【妖怪大戦】マカロン</t>
  </si>
  <si>
    <t>ようかいたいせんまかろん</t>
    <phoneticPr fontId="4"/>
  </si>
  <si>
    <t>甘い色香で惑わす傾国の大妖怪</t>
    <phoneticPr fontId="4"/>
  </si>
  <si>
    <t>10月四神戦</t>
    <rPh sb="2" eb="3">
      <t>ガツ</t>
    </rPh>
    <rPh sb="3" eb="4">
      <t>ヨン</t>
    </rPh>
    <rPh sb="4" eb="5">
      <t>シン</t>
    </rPh>
    <rPh sb="5" eb="6">
      <t>セン</t>
    </rPh>
    <phoneticPr fontId="4"/>
  </si>
  <si>
    <t>竜拳士スクラ</t>
  </si>
  <si>
    <t>りゅうけんしすくら</t>
    <phoneticPr fontId="4"/>
  </si>
  <si>
    <t>両拳に宿す竜の力</t>
    <phoneticPr fontId="4"/>
  </si>
  <si>
    <t>コ・イ・ヌール</t>
  </si>
  <si>
    <t>こいぬーる</t>
    <phoneticPr fontId="4"/>
  </si>
  <si>
    <t>至高の貴石</t>
    <phoneticPr fontId="4"/>
  </si>
  <si>
    <t>【雪紅葉】藤原清衡</t>
  </si>
  <si>
    <t>ゆきもみじふじわらのきよひら</t>
    <phoneticPr fontId="4"/>
  </si>
  <si>
    <t>金色の秋の支配者</t>
    <phoneticPr fontId="4"/>
  </si>
  <si>
    <t>屋台荒らしのベゼ</t>
  </si>
  <si>
    <t>やたいあらしのべぜ</t>
    <phoneticPr fontId="4"/>
  </si>
  <si>
    <t>俊速の手捌き</t>
    <phoneticPr fontId="4"/>
  </si>
  <si>
    <t>【着物の日】カグヤ</t>
  </si>
  <si>
    <t>きもののひかぐや</t>
    <phoneticPr fontId="4"/>
  </si>
  <si>
    <t>着物が映える中秋の名月</t>
    <phoneticPr fontId="4"/>
  </si>
  <si>
    <t>【クリスマスウォー】巴御前</t>
  </si>
  <si>
    <t>くりすますうぉーともえごぜん</t>
    <phoneticPr fontId="4"/>
  </si>
  <si>
    <t>16+竜+竜+11+11</t>
    <rPh sb="3" eb="4">
      <t>リュウ</t>
    </rPh>
    <rPh sb="5" eb="6">
      <t>リュウ</t>
    </rPh>
    <phoneticPr fontId="4"/>
  </si>
  <si>
    <t>聖夜に舞う一騎当千の美しき兵</t>
    <phoneticPr fontId="4"/>
  </si>
  <si>
    <t>歯科助手のモリー</t>
  </si>
  <si>
    <t>しかじょしゅのもりー</t>
    <phoneticPr fontId="4"/>
  </si>
  <si>
    <t>18+竜+竜+12+18,11,11,11,12</t>
    <rPh sb="3" eb="4">
      <t>リュウ</t>
    </rPh>
    <rPh sb="5" eb="6">
      <t>リュウ</t>
    </rPh>
    <phoneticPr fontId="4"/>
  </si>
  <si>
    <t>笑顔の満ちた対応</t>
    <phoneticPr fontId="4"/>
  </si>
  <si>
    <t>スペルビア</t>
  </si>
  <si>
    <t>すぺるびあ</t>
    <phoneticPr fontId="4"/>
  </si>
  <si>
    <t>ウィオラ・カテーラ</t>
    <phoneticPr fontId="4"/>
  </si>
  <si>
    <t>【羽子板大戦】日野富子</t>
  </si>
  <si>
    <t>はごいたたいせんひのとみこ</t>
    <phoneticPr fontId="4"/>
  </si>
  <si>
    <t>18+竜+竜+竜+絶大,11,11</t>
    <rPh sb="3" eb="4">
      <t>リュウ</t>
    </rPh>
    <rPh sb="5" eb="6">
      <t>リュウ</t>
    </rPh>
    <rPh sb="7" eb="8">
      <t>リュウ</t>
    </rPh>
    <rPh sb="9" eb="11">
      <t>ゼツダイ</t>
    </rPh>
    <phoneticPr fontId="4"/>
  </si>
  <si>
    <t>正月の一戦</t>
    <phoneticPr fontId="4"/>
  </si>
  <si>
    <t>バッカス</t>
  </si>
  <si>
    <t>ばっかす</t>
    <phoneticPr fontId="4"/>
  </si>
  <si>
    <t>ドランクネス</t>
    <phoneticPr fontId="4"/>
  </si>
  <si>
    <t>ジル・ド・レイ</t>
  </si>
  <si>
    <t>じるどれい</t>
    <phoneticPr fontId="4"/>
  </si>
  <si>
    <t>12+竜+竜+11+(12+10+11+11+12)</t>
    <rPh sb="3" eb="4">
      <t>リュウ</t>
    </rPh>
    <rPh sb="5" eb="6">
      <t>リュウ</t>
    </rPh>
    <phoneticPr fontId="4"/>
  </si>
  <si>
    <t>契約の代償</t>
    <phoneticPr fontId="4"/>
  </si>
  <si>
    <t>タイプ【名物】の防40％UP　/　タイプ【妖怪】の防20％UP</t>
  </si>
  <si>
    <t>【節分】亀寿姫</t>
  </si>
  <si>
    <t>せつぶんかめじゅひめ</t>
  </si>
  <si>
    <t>12+竜+竜+竜+11</t>
    <phoneticPr fontId="4"/>
  </si>
  <si>
    <t>良妻賢母の鬼退治</t>
  </si>
  <si>
    <t>タイプ【武人】の攻95％UP　/　タイプ姫・伝承の攻20％UP</t>
  </si>
  <si>
    <t>ヤーイー</t>
  </si>
  <si>
    <t>やーいー</t>
  </si>
  <si>
    <t>12+11+11+11+12</t>
    <phoneticPr fontId="4"/>
  </si>
  <si>
    <t>牡丹紅雷</t>
  </si>
  <si>
    <t>タイプ【妖怪】の攻85％UP　/　タイプ偉人・名物の攻25％UP</t>
  </si>
  <si>
    <t>【お菓子の国】グレーテル</t>
  </si>
  <si>
    <t>おかしのくにぐれーてる</t>
    <phoneticPr fontId="4"/>
  </si>
  <si>
    <t>マルメラーデマギ</t>
    <phoneticPr fontId="4"/>
  </si>
  <si>
    <t>【聖火争奪戦】水炊きさん</t>
  </si>
  <si>
    <t>せいかそうだつせんみずたきさん</t>
    <phoneticPr fontId="4"/>
  </si>
  <si>
    <t>四大鶏鍋陰陽師の火加減</t>
    <phoneticPr fontId="4"/>
  </si>
  <si>
    <t>3月四神戦</t>
    <rPh sb="1" eb="2">
      <t>ガツ</t>
    </rPh>
    <rPh sb="2" eb="3">
      <t>ヨン</t>
    </rPh>
    <rPh sb="3" eb="4">
      <t>シン</t>
    </rPh>
    <rPh sb="4" eb="5">
      <t>セン</t>
    </rPh>
    <phoneticPr fontId="4"/>
  </si>
  <si>
    <t>【吟遊詩人】レイ</t>
    <rPh sb="1" eb="3">
      <t>ギンユウ</t>
    </rPh>
    <rPh sb="3" eb="5">
      <t>シジン</t>
    </rPh>
    <phoneticPr fontId="4"/>
  </si>
  <si>
    <t>ぎんゆうしじんれい</t>
    <phoneticPr fontId="4"/>
  </si>
  <si>
    <t>六弦金弾奏</t>
    <rPh sb="0" eb="1">
      <t>ロク</t>
    </rPh>
    <rPh sb="1" eb="2">
      <t>ゲン</t>
    </rPh>
    <rPh sb="2" eb="3">
      <t>キン</t>
    </rPh>
    <rPh sb="3" eb="4">
      <t>ダン</t>
    </rPh>
    <phoneticPr fontId="4"/>
  </si>
  <si>
    <t>タイプ【飲食】の防95%UP　/　タイプ神秘・知性派の防20%UP</t>
    <rPh sb="4" eb="6">
      <t>インショク</t>
    </rPh>
    <rPh sb="8" eb="9">
      <t>ボウ</t>
    </rPh>
    <rPh sb="20" eb="22">
      <t>シンピ</t>
    </rPh>
    <rPh sb="23" eb="25">
      <t>チセイ</t>
    </rPh>
    <rPh sb="25" eb="26">
      <t>ハ</t>
    </rPh>
    <rPh sb="27" eb="28">
      <t>ボウ</t>
    </rPh>
    <phoneticPr fontId="4"/>
  </si>
  <si>
    <t>プリンセスショコラ</t>
    <phoneticPr fontId="4"/>
  </si>
  <si>
    <t>ぷりんせすしょこら</t>
    <phoneticPr fontId="4"/>
  </si>
  <si>
    <t>ショコラティエ</t>
    <phoneticPr fontId="4"/>
  </si>
  <si>
    <t>【プロレス】不動明王</t>
    <phoneticPr fontId="4"/>
  </si>
  <si>
    <t>ぷろれすふどうみょうおう</t>
    <phoneticPr fontId="4"/>
  </si>
  <si>
    <t>闇断つ揺るがぬ守護神</t>
    <phoneticPr fontId="4"/>
  </si>
  <si>
    <t>無所属→全国</t>
    <rPh sb="0" eb="3">
      <t>ムショゾク</t>
    </rPh>
    <phoneticPr fontId="1"/>
  </si>
  <si>
    <t>七味唐辛子</t>
  </si>
  <si>
    <t>しちみとうがらし</t>
    <phoneticPr fontId="4"/>
  </si>
  <si>
    <t>●</t>
  </si>
  <si>
    <t>七色の刺激→君色に染めて(5進)</t>
    <rPh sb="6" eb="7">
      <t>キミ</t>
    </rPh>
    <rPh sb="7" eb="8">
      <t>イロ</t>
    </rPh>
    <rPh sb="9" eb="10">
      <t>ソ</t>
    </rPh>
    <phoneticPr fontId="4"/>
  </si>
  <si>
    <t>タイプ偉人・姫・神秘・知性派・飲食の防25%UP</t>
    <rPh sb="3" eb="5">
      <t>イジン</t>
    </rPh>
    <rPh sb="6" eb="7">
      <t>ヒメ</t>
    </rPh>
    <rPh sb="8" eb="10">
      <t>シンピ</t>
    </rPh>
    <rPh sb="11" eb="13">
      <t>チセイ</t>
    </rPh>
    <rPh sb="13" eb="14">
      <t>ハ</t>
    </rPh>
    <rPh sb="15" eb="17">
      <t>インショク</t>
    </rPh>
    <rPh sb="18" eb="19">
      <t>ボウ</t>
    </rPh>
    <phoneticPr fontId="1"/>
  </si>
  <si>
    <t>鹿児島→全国</t>
    <rPh sb="0" eb="3">
      <t>カゴシマ</t>
    </rPh>
    <phoneticPr fontId="1"/>
  </si>
  <si>
    <t>【才媛】天璋院篤姫</t>
  </si>
  <si>
    <t>さいえんてんしょういんあつひめ</t>
    <phoneticPr fontId="4"/>
  </si>
  <si>
    <t>将軍家島津の才媛</t>
    <phoneticPr fontId="4"/>
  </si>
  <si>
    <t>タイプ偉人・飲食・伝承・武人・姫の攻25%UP</t>
    <rPh sb="3" eb="5">
      <t>イジン</t>
    </rPh>
    <rPh sb="6" eb="8">
      <t>インショク</t>
    </rPh>
    <rPh sb="9" eb="11">
      <t>デンショウ</t>
    </rPh>
    <rPh sb="12" eb="14">
      <t>ブジン</t>
    </rPh>
    <rPh sb="15" eb="16">
      <t>ヒメ</t>
    </rPh>
    <rPh sb="17" eb="18">
      <t>コウ</t>
    </rPh>
    <phoneticPr fontId="1"/>
  </si>
  <si>
    <t>【夜桜】濃姫</t>
  </si>
  <si>
    <t>よざくらのうひめ</t>
    <phoneticPr fontId="4"/>
  </si>
  <si>
    <t>美濃と変わらぬ尾張の桜</t>
    <phoneticPr fontId="4"/>
  </si>
  <si>
    <t>タイプ武人・伝承の攻40％UP　/　タイプ【姫】の攻12%UP</t>
    <rPh sb="3" eb="5">
      <t>ブジン</t>
    </rPh>
    <rPh sb="6" eb="8">
      <t>デンショウ</t>
    </rPh>
    <rPh sb="9" eb="10">
      <t>コウ</t>
    </rPh>
    <rPh sb="22" eb="23">
      <t>ヒメ</t>
    </rPh>
    <rPh sb="25" eb="26">
      <t>コウ</t>
    </rPh>
    <phoneticPr fontId="1"/>
  </si>
  <si>
    <t>【剣神降臨】ヤマトタケル</t>
  </si>
  <si>
    <t>けんしんこうりんやまとたける</t>
    <phoneticPr fontId="4"/>
  </si>
  <si>
    <t>ありえざる運命の対決</t>
    <phoneticPr fontId="4"/>
  </si>
  <si>
    <t xml:space="preserve"> タイプ姫・伝承の攻40％UP　/　タイプ【武人】の攻12％UP</t>
  </si>
  <si>
    <t>関東→全国</t>
    <rPh sb="0" eb="2">
      <t>カントウ</t>
    </rPh>
    <phoneticPr fontId="1"/>
  </si>
  <si>
    <t>歌舞伎町</t>
  </si>
  <si>
    <t>かぶきちょう</t>
    <phoneticPr fontId="4"/>
  </si>
  <si>
    <t>欲望を満たす魅惑の不夜城</t>
    <phoneticPr fontId="4"/>
  </si>
  <si>
    <t>タイプ伝承・知性派・妖怪・偉人の攻30％UP　/　タイプ【名物】の攻25％UP</t>
  </si>
  <si>
    <t>サーロインステーキちゃん</t>
  </si>
  <si>
    <t>さーろいんすてーきちゃん</t>
    <phoneticPr fontId="4"/>
  </si>
  <si>
    <t>塩とコショウと騎士の称号</t>
    <phoneticPr fontId="4"/>
  </si>
  <si>
    <t>タイプ偉人・姫・神秘・知性派の攻30％UP　/　タイプ【飲食】の攻20％UP</t>
    <rPh sb="3" eb="5">
      <t>イジン</t>
    </rPh>
    <rPh sb="6" eb="7">
      <t>ヒメ</t>
    </rPh>
    <rPh sb="8" eb="10">
      <t>シンピ</t>
    </rPh>
    <rPh sb="28" eb="30">
      <t>インショク</t>
    </rPh>
    <phoneticPr fontId="1"/>
  </si>
  <si>
    <t>シンデレラ</t>
  </si>
  <si>
    <t>しんでれら</t>
    <phoneticPr fontId="4"/>
  </si>
  <si>
    <t>幸福のシンデレラ・ストーリー</t>
    <phoneticPr fontId="4"/>
  </si>
  <si>
    <t>タイプ武人・姫の防40％UP　/　タイプ【伝承】の防12％UP</t>
  </si>
  <si>
    <t>本願寺顕如</t>
  </si>
  <si>
    <t>ほんがんじけんにょ</t>
    <phoneticPr fontId="4"/>
  </si>
  <si>
    <t>調略！信長包囲網</t>
    <phoneticPr fontId="4"/>
  </si>
  <si>
    <t>タイプ飲食・妖怪・姫・名物の攻30％UP　/　タイプ【偉人】の攻25％UP</t>
  </si>
  <si>
    <t>カブトムシ</t>
  </si>
  <si>
    <t>かぶとむし</t>
    <phoneticPr fontId="4"/>
  </si>
  <si>
    <t>昆虫界の鎧武者</t>
    <phoneticPr fontId="4"/>
  </si>
  <si>
    <t>タイプ偉人・妖怪の防40％UP　/　タイプ【名物】の防12％UP</t>
  </si>
  <si>
    <t>東日本→全国</t>
    <rPh sb="0" eb="1">
      <t>ヒガシ</t>
    </rPh>
    <rPh sb="1" eb="3">
      <t>ニホン</t>
    </rPh>
    <phoneticPr fontId="1"/>
  </si>
  <si>
    <t>神秘</t>
    <rPh sb="0" eb="2">
      <t>シンピ</t>
    </rPh>
    <phoneticPr fontId="1"/>
  </si>
  <si>
    <t>獏</t>
  </si>
  <si>
    <t>ばく</t>
    <phoneticPr fontId="4"/>
  </si>
  <si>
    <t>タイプ神秘・知性派・飲食の防25％UP　/　タイプ偉人・妖怪・名物の攻50％DOWN</t>
  </si>
  <si>
    <t>からくり儀右衛門</t>
  </si>
  <si>
    <t>からくりぎえもん</t>
    <phoneticPr fontId="4"/>
  </si>
  <si>
    <t>機械仕掛けの探究心</t>
    <phoneticPr fontId="4"/>
  </si>
  <si>
    <t>タイプ妖怪・名物の防35％UP　/　タイプ【偉人】の防20％UP</t>
  </si>
  <si>
    <t>【妖艶】淀殿</t>
  </si>
  <si>
    <t>ようえんよどどの</t>
    <phoneticPr fontId="4"/>
  </si>
  <si>
    <t>乱世に輝く美の血統</t>
    <phoneticPr fontId="4"/>
  </si>
  <si>
    <t>タイプ【武人】の防50％UP　/　タイプ姫・伝承の防25％UP</t>
  </si>
  <si>
    <t>最澄</t>
  </si>
  <si>
    <t>さいちょう</t>
    <phoneticPr fontId="4"/>
  </si>
  <si>
    <t>タイプ妖怪・名物の攻35％UP　/　タイプ【偉人】の攻25％UP</t>
  </si>
  <si>
    <t>【一騎当千】前田慶次</t>
  </si>
  <si>
    <t>いっきとうせんまえだけいじ</t>
    <phoneticPr fontId="4"/>
  </si>
  <si>
    <t>傾奇御免の一騎当千</t>
    <phoneticPr fontId="4"/>
  </si>
  <si>
    <t>タイプ姫・伝承の攻30％UP</t>
  </si>
  <si>
    <t>【秋舞】猫神</t>
  </si>
  <si>
    <t>あきまいねこがみ</t>
    <phoneticPr fontId="4"/>
  </si>
  <si>
    <t>にんげん大好き猫神様</t>
    <phoneticPr fontId="4"/>
  </si>
  <si>
    <t>タイプ偉人・名物の防35％UP　/　タイプ【妖怪】の防20％UP</t>
  </si>
  <si>
    <t>無所属→全国</t>
  </si>
  <si>
    <t>大和撫子</t>
  </si>
  <si>
    <t>やまとなでしこ</t>
    <phoneticPr fontId="4"/>
  </si>
  <si>
    <t>美しき日本の女性像</t>
    <phoneticPr fontId="4"/>
  </si>
  <si>
    <t>忠臣蔵</t>
  </si>
  <si>
    <t>ちゅうしんぐら</t>
    <phoneticPr fontId="4"/>
  </si>
  <si>
    <t>白く積もる雪と忠心</t>
    <phoneticPr fontId="4"/>
  </si>
  <si>
    <t>タイプ武人・姫の防35％UP　/　タイプ【伝承】の防20％UP</t>
  </si>
  <si>
    <t>東東洋</t>
  </si>
  <si>
    <t>あずまとうよう</t>
    <phoneticPr fontId="4"/>
  </si>
  <si>
    <t>仙台藩御用絵師</t>
    <phoneticPr fontId="4"/>
  </si>
  <si>
    <t>無所属→全国</t>
    <phoneticPr fontId="4"/>
  </si>
  <si>
    <t>お神酒ちゃん</t>
  </si>
  <si>
    <t>おみきちゃん</t>
    <phoneticPr fontId="4"/>
  </si>
  <si>
    <t>タイプ【神秘】の攻50％UP　/　タイプ知性派・飲食の攻25％UP</t>
  </si>
  <si>
    <t>タイプ武人・飲食の防50％UP　/　タイプ伝承・姫の防25％UP</t>
  </si>
  <si>
    <t>タイプ名物・妖怪・飲食の防40％UP　/　タイプ偉人・姫・武人・伝承の防15％UP</t>
  </si>
  <si>
    <t>タイプ【武人】の攻50％UP　/　タイプ姫・伝承・名物・偉人の攻25％UP</t>
  </si>
  <si>
    <t>タイプ名物・妖怪・姫の防40％UP　/　タイプ偉人・神秘・知性派・飲食の防15％UP</t>
  </si>
  <si>
    <t>タイプ武人・姫の防40％UP　/　タイプ伝承・知性派・飲食の防20％UP</t>
  </si>
  <si>
    <t>西日本→全国</t>
  </si>
  <si>
    <t>タイプ神秘・姫の防50％UP　/　タイプ知性派・飲食の防30％UP</t>
  </si>
  <si>
    <t>タイプ知性派・飲食・神秘・武人・姫・伝承の防25％UP　/　タイプ伝承・武人・姫の攻50％DOWN</t>
  </si>
  <si>
    <t>タイプ名物・妖怪・飲食の攻40％UP　/　タイプ偉人・姫・武人・伝承の攻35％UP</t>
  </si>
  <si>
    <t>タイプ姫・伝承の攻30％UP　/　タイプ伝承・武人・姫の防12％DOWN</t>
  </si>
  <si>
    <t>タイプ神秘・名物の防50％UP　/　タイプ飲食・知性派・姫・伝承の防30％UP</t>
  </si>
  <si>
    <t>タイプ名物・妖怪・姫の防40％UP　/　タイプ神秘・知性派・偉人の防25％UP</t>
  </si>
  <si>
    <t>タイプ武人・知性派の攻50％UP　/　タイプ姫・伝承・名物・偉人の攻25％UP</t>
  </si>
  <si>
    <t>タイプ偉人・妖怪・名物の攻35％UP　/　タイプ【神秘】の防50％DOWN</t>
  </si>
  <si>
    <t>タイプ武人・姫・名物の防40％UP　/　タイプ伝承・偉人・神秘・知性派の防35％UP</t>
  </si>
  <si>
    <t>タイプ神秘・飲食・妖怪の防40％UP　/　タイプ知性派・名物の防35％UP</t>
  </si>
  <si>
    <t>タイプ神秘・飲食・伝承の攻40％UP　/　タイプ【知性派】の攻35％UP</t>
  </si>
  <si>
    <t>タイプ偉人・妖怪・知性派の攻35％UP　/　タイプ【名物】の攻12％UP</t>
  </si>
  <si>
    <t>タイプ【武人】の防100％DOWN　/　タイプ姫・伝承・神秘の防30％DOWN</t>
  </si>
  <si>
    <t>タイプ偉人・妖怪・名物の防10％UP　/　タイプ神秘・飮食・知性派・姫の攻35％DOWN</t>
  </si>
  <si>
    <t>タイプ姫・伝承の防15％UP　/　タイプ【武人】の防15％UP</t>
  </si>
  <si>
    <t>タイプ伝承・武人・姫の攻80％DOWN　/　タイプ知性派・飲食の防25％UP</t>
  </si>
  <si>
    <t>●</t>
    <phoneticPr fontId="4"/>
  </si>
  <si>
    <t>タイプ神秘・知性派・飲食の攻40％UP　/　タイプ偉人・妖怪・名物の防10％DOWN</t>
  </si>
  <si>
    <t>オキクルミ</t>
    <phoneticPr fontId="4"/>
  </si>
  <si>
    <t>タイプ偉人・妖怪・名物の防80％DOWN　/　タイプ知性派・飲食の攻25％UP</t>
  </si>
  <si>
    <t>タイプ【武人】の防85％UP　/　タイプ姫・伝承の防25％UP</t>
  </si>
  <si>
    <t>タイプ偉人・妖怪・名物の攻15％UP　/　タイプ偉人・姫・武人・伝承の防30％DOWN</t>
  </si>
  <si>
    <t>召喚アビリティ名</t>
    <rPh sb="0" eb="2">
      <t>ショウカン</t>
    </rPh>
    <rPh sb="7" eb="8">
      <t>メイ</t>
    </rPh>
    <phoneticPr fontId="4"/>
  </si>
  <si>
    <t>召喚アビリティ効果</t>
    <rPh sb="0" eb="2">
      <t>ショウカン</t>
    </rPh>
    <rPh sb="7" eb="9">
      <t>コウカ</t>
    </rPh>
    <phoneticPr fontId="4"/>
  </si>
  <si>
    <t>きょうだいいん</t>
    <phoneticPr fontId="4"/>
  </si>
  <si>
    <t>大石寺への大貢献</t>
    <phoneticPr fontId="4"/>
  </si>
  <si>
    <t>タイプ伝承・武人・神秘の攻30％UP</t>
    <phoneticPr fontId="4"/>
  </si>
  <si>
    <t>スキル封じ</t>
    <phoneticPr fontId="4"/>
  </si>
  <si>
    <t>相手メインデッキの妖怪タイプのスキルを封じる</t>
    <phoneticPr fontId="4"/>
  </si>
  <si>
    <t>中部</t>
    <rPh sb="0" eb="2">
      <t>チュウブ</t>
    </rPh>
    <phoneticPr fontId="4"/>
  </si>
  <si>
    <t>たぬきのおんがえし</t>
    <phoneticPr fontId="4"/>
  </si>
  <si>
    <t>物まね上手の悪戯狸</t>
    <phoneticPr fontId="4"/>
  </si>
  <si>
    <t>タイプ姫・武人・知性派の攻30％UP</t>
    <phoneticPr fontId="4"/>
  </si>
  <si>
    <t>相手メインデッキの偉人タイプのスキルを封じる</t>
    <phoneticPr fontId="4"/>
  </si>
  <si>
    <t>あさのよしなが</t>
    <phoneticPr fontId="4"/>
  </si>
  <si>
    <t>誓うは豊臣、敵は石田</t>
    <phoneticPr fontId="4"/>
  </si>
  <si>
    <t>タイプ伝承・姫・飲食の攻30％UP</t>
    <phoneticPr fontId="4"/>
  </si>
  <si>
    <t>相手メインデッキの名物タイプのスキルを封じる</t>
    <phoneticPr fontId="4"/>
  </si>
  <si>
    <t>もがみとくない</t>
    <phoneticPr fontId="4"/>
  </si>
  <si>
    <t>探検冒険北の国</t>
    <phoneticPr fontId="4"/>
  </si>
  <si>
    <t>タイプ名物・妖怪・姫の攻30％UP</t>
    <phoneticPr fontId="4"/>
  </si>
  <si>
    <t>相手メインデッキの神秘タイプのスキルを封じる</t>
    <phoneticPr fontId="4"/>
  </si>
  <si>
    <t>きぬがわおんせん</t>
    <phoneticPr fontId="4"/>
  </si>
  <si>
    <t>奥座敷の癒し湯</t>
    <phoneticPr fontId="4"/>
  </si>
  <si>
    <t>タイプ偉人・妖怪・伝承の攻30％UP</t>
    <phoneticPr fontId="4"/>
  </si>
  <si>
    <t>相手メインデッキの飲食タイプのスキルを封じる</t>
    <phoneticPr fontId="4"/>
  </si>
  <si>
    <t>そうげんび</t>
    <phoneticPr fontId="4"/>
  </si>
  <si>
    <t>悪僧の嘆き火</t>
    <phoneticPr fontId="4"/>
  </si>
  <si>
    <t>タイプ名物・偉人・武人の攻30％UP</t>
    <phoneticPr fontId="4"/>
  </si>
  <si>
    <t>相手メインデッキの知性派タイプのスキルを封じる</t>
    <phoneticPr fontId="4"/>
  </si>
  <si>
    <t>おとまえ</t>
    <phoneticPr fontId="4"/>
  </si>
  <si>
    <t>正調今様の後継者</t>
    <phoneticPr fontId="4"/>
  </si>
  <si>
    <t>タイプ神秘・飲食・偉人の攻30％UP</t>
    <phoneticPr fontId="4"/>
  </si>
  <si>
    <t>相手メインデッキの姫タイプのスキルを封じる</t>
    <phoneticPr fontId="4"/>
  </si>
  <si>
    <t>なるときんとき</t>
    <phoneticPr fontId="4"/>
  </si>
  <si>
    <t>甘みと旨みの渦潮</t>
    <phoneticPr fontId="4"/>
  </si>
  <si>
    <t>タイプ神秘・知性派・名物の攻30％UP</t>
    <phoneticPr fontId="4"/>
  </si>
  <si>
    <t>相手メインデッキの武人タイプのスキルを封じる</t>
    <phoneticPr fontId="4"/>
  </si>
  <si>
    <t>しきなごんげん</t>
    <phoneticPr fontId="4"/>
  </si>
  <si>
    <t>由緒正しき琉球八社</t>
    <phoneticPr fontId="4"/>
  </si>
  <si>
    <t>タイプ飲食・知性派・妖怪の攻30％UP</t>
    <phoneticPr fontId="4"/>
  </si>
  <si>
    <t>相手メインデッキの伝承タイプのスキルを封じる</t>
    <phoneticPr fontId="4"/>
  </si>
  <si>
    <t>[新生]【一騎当千】前田慶次</t>
    <phoneticPr fontId="4"/>
  </si>
  <si>
    <t>4月報酬</t>
    <rPh sb="1" eb="2">
      <t>ガツ</t>
    </rPh>
    <rPh sb="2" eb="4">
      <t>ホウシュウ</t>
    </rPh>
    <phoneticPr fontId="4"/>
  </si>
  <si>
    <t>しんせいいっきとうせんまえだけいじ</t>
    <phoneticPr fontId="4"/>
  </si>
  <si>
    <t>4月四神戦</t>
    <rPh sb="1" eb="2">
      <t>ガツ</t>
    </rPh>
    <rPh sb="2" eb="3">
      <t>ヨン</t>
    </rPh>
    <rPh sb="3" eb="4">
      <t>シン</t>
    </rPh>
    <rPh sb="4" eb="5">
      <t>セン</t>
    </rPh>
    <phoneticPr fontId="4"/>
  </si>
  <si>
    <t>争闘のアルベビラ</t>
    <phoneticPr fontId="4"/>
  </si>
  <si>
    <t>武人</t>
    <phoneticPr fontId="4"/>
  </si>
  <si>
    <t>そうとうのあるべびら</t>
    <phoneticPr fontId="4"/>
  </si>
  <si>
    <t>争闘一閃</t>
    <phoneticPr fontId="4"/>
  </si>
  <si>
    <t>【バイオリニスト】センツァ</t>
    <phoneticPr fontId="4"/>
  </si>
  <si>
    <t>妖怪</t>
    <phoneticPr fontId="4"/>
  </si>
  <si>
    <t>ばいおりにすとせんつぁ</t>
    <phoneticPr fontId="4"/>
  </si>
  <si>
    <t>女神の音色</t>
    <phoneticPr fontId="4"/>
  </si>
  <si>
    <t>タイプ偉人・妖怪・名物の防40％UP</t>
    <phoneticPr fontId="4"/>
  </si>
  <si>
    <t>槐の邪神</t>
    <phoneticPr fontId="4"/>
  </si>
  <si>
    <t>2020/02/15 12:00～2020/04/15 11:59</t>
    <phoneticPr fontId="4"/>
  </si>
  <si>
    <t>2020/04/15 12:00～2020/06/15 11:59</t>
    <phoneticPr fontId="4"/>
  </si>
  <si>
    <t>えんじゅのじゃしん</t>
    <phoneticPr fontId="4"/>
  </si>
  <si>
    <t>中部</t>
    <phoneticPr fontId="4"/>
  </si>
  <si>
    <t>槐の祟り</t>
    <phoneticPr fontId="4"/>
  </si>
  <si>
    <t>妖怪</t>
    <phoneticPr fontId="4"/>
  </si>
  <si>
    <t>[新生]東福門院</t>
    <phoneticPr fontId="4"/>
  </si>
  <si>
    <t>しんせいとうふくもんいん</t>
    <phoneticPr fontId="4"/>
  </si>
  <si>
    <t>関東</t>
    <phoneticPr fontId="4"/>
  </si>
  <si>
    <t>姫</t>
    <phoneticPr fontId="4"/>
  </si>
  <si>
    <t>公武の架け橋</t>
    <phoneticPr fontId="4"/>
  </si>
  <si>
    <t>【ホワイトデー】黒百合伝説</t>
    <phoneticPr fontId="4"/>
  </si>
  <si>
    <t>ほわいとでーくろゆりでんせつ</t>
    <phoneticPr fontId="4"/>
  </si>
  <si>
    <t>伝承</t>
    <phoneticPr fontId="4"/>
  </si>
  <si>
    <t>恋愛分岐点は形とともに</t>
    <phoneticPr fontId="4"/>
  </si>
  <si>
    <t>破天荒な夫への気遣い</t>
    <phoneticPr fontId="4"/>
  </si>
  <si>
    <t>いんどしんわむらさきいもたるとちゃん</t>
    <phoneticPr fontId="4"/>
  </si>
  <si>
    <t>【インド神話】紫芋タルトちゃん</t>
    <phoneticPr fontId="4"/>
  </si>
  <si>
    <t>九州・沖縄</t>
    <phoneticPr fontId="4"/>
  </si>
  <si>
    <t>飲食</t>
    <phoneticPr fontId="4"/>
  </si>
  <si>
    <t>2018/03防衛戦</t>
    <rPh sb="7" eb="10">
      <t>ボウエイセン</t>
    </rPh>
    <phoneticPr fontId="4"/>
  </si>
  <si>
    <t>2018/03龍神杯</t>
    <rPh sb="7" eb="9">
      <t>リュウジン</t>
    </rPh>
    <rPh sb="9" eb="10">
      <t>ハイ</t>
    </rPh>
    <phoneticPr fontId="4"/>
  </si>
  <si>
    <t>2018/03サイコロ</t>
    <phoneticPr fontId="4"/>
  </si>
  <si>
    <t>2018/03四神戦</t>
    <rPh sb="7" eb="8">
      <t>ヨン</t>
    </rPh>
    <rPh sb="8" eb="9">
      <t>シン</t>
    </rPh>
    <rPh sb="9" eb="10">
      <t>セン</t>
    </rPh>
    <phoneticPr fontId="4"/>
  </si>
  <si>
    <t>16+竜+竜+竜+16,14</t>
    <rPh sb="3" eb="4">
      <t>リュウ</t>
    </rPh>
    <rPh sb="5" eb="6">
      <t>リュウ</t>
    </rPh>
    <rPh sb="7" eb="8">
      <t>リュウ</t>
    </rPh>
    <phoneticPr fontId="4"/>
  </si>
  <si>
    <t>【宇宙戦争】堀田吉子</t>
    <phoneticPr fontId="4"/>
  </si>
  <si>
    <t>知性派</t>
    <phoneticPr fontId="4"/>
  </si>
  <si>
    <t>うちゅうせんそうほったきちこ</t>
    <phoneticPr fontId="4"/>
  </si>
  <si>
    <t>幼きブレインの戦略</t>
  </si>
  <si>
    <t>タイプ神秘・知性派・飲食の攻45％UP　/　タイプ伝承・武人・姫の防10％DOWN</t>
  </si>
  <si>
    <t>[新生]ヤンバルクイナ</t>
    <phoneticPr fontId="4"/>
  </si>
  <si>
    <t>5月報酬</t>
    <rPh sb="1" eb="2">
      <t>ガツ</t>
    </rPh>
    <rPh sb="2" eb="4">
      <t>ホウシュウ</t>
    </rPh>
    <phoneticPr fontId="4"/>
  </si>
  <si>
    <t>タイプ偉人・妖怪・名物の攻40％UP</t>
    <phoneticPr fontId="4"/>
  </si>
  <si>
    <t>しんせいやんばるくいな</t>
    <phoneticPr fontId="4"/>
  </si>
  <si>
    <t>5月四神戦</t>
    <rPh sb="1" eb="2">
      <t>ガツ</t>
    </rPh>
    <rPh sb="2" eb="3">
      <t>ヨン</t>
    </rPh>
    <rPh sb="3" eb="4">
      <t>シン</t>
    </rPh>
    <rPh sb="4" eb="5">
      <t>セン</t>
    </rPh>
    <phoneticPr fontId="4"/>
  </si>
  <si>
    <t>偉人</t>
    <phoneticPr fontId="4"/>
  </si>
  <si>
    <t>隠された美しき花</t>
    <phoneticPr fontId="4"/>
  </si>
  <si>
    <t>ゆあみむーまん</t>
    <phoneticPr fontId="4"/>
  </si>
  <si>
    <t>【湯浴み】ムーマン</t>
    <phoneticPr fontId="4"/>
  </si>
  <si>
    <t>【粉砕】メタルロッド</t>
    <phoneticPr fontId="4"/>
  </si>
  <si>
    <t>ふんさいめたるろっど</t>
    <phoneticPr fontId="4"/>
  </si>
  <si>
    <t>鋼鉄の一撃</t>
    <phoneticPr fontId="4"/>
  </si>
  <si>
    <t>6月報酬</t>
    <rPh sb="1" eb="2">
      <t>ガツ</t>
    </rPh>
    <rPh sb="2" eb="4">
      <t>ホウシュウ</t>
    </rPh>
    <phoneticPr fontId="4"/>
  </si>
  <si>
    <t>[新生]天孫降臨</t>
    <phoneticPr fontId="4"/>
  </si>
  <si>
    <t>しんせいてんそんこうりん</t>
    <phoneticPr fontId="4"/>
  </si>
  <si>
    <t>天地神器の降臨譚</t>
    <phoneticPr fontId="4"/>
  </si>
  <si>
    <t>無所属→全国</t>
    <rPh sb="0" eb="3">
      <t>ムショゾク</t>
    </rPh>
    <phoneticPr fontId="4"/>
  </si>
  <si>
    <t>【潜入捜査】瑤泉院</t>
    <phoneticPr fontId="4"/>
  </si>
  <si>
    <t>せんにゅうそうさようぜんいん</t>
    <phoneticPr fontId="4"/>
  </si>
  <si>
    <t>四十七士と共に</t>
    <phoneticPr fontId="4"/>
  </si>
  <si>
    <t>デカ盛りスープカレー</t>
    <phoneticPr fontId="4"/>
  </si>
  <si>
    <t>でかもりすーぷかれー</t>
    <phoneticPr fontId="4"/>
  </si>
  <si>
    <t>飲食</t>
    <phoneticPr fontId="4"/>
  </si>
  <si>
    <t>サービス全開☆デカ盛りスープまみれ</t>
    <phoneticPr fontId="4"/>
  </si>
  <si>
    <t>[新生]【桜めぐり】八百比丘尼</t>
    <phoneticPr fontId="4"/>
  </si>
  <si>
    <t>中部</t>
    <phoneticPr fontId="4"/>
  </si>
  <si>
    <t>妖怪</t>
    <phoneticPr fontId="4"/>
  </si>
  <si>
    <t>しんせいさくらめぐりやおびくに</t>
    <phoneticPr fontId="4"/>
  </si>
  <si>
    <t>若木の成長で数える年月</t>
    <phoneticPr fontId="4"/>
  </si>
  <si>
    <t>【職業体験】円融院</t>
    <phoneticPr fontId="4"/>
  </si>
  <si>
    <t>しょくぎょうたいけんえんゆういん</t>
    <phoneticPr fontId="4"/>
  </si>
  <si>
    <t>中国・四国</t>
    <phoneticPr fontId="4"/>
  </si>
  <si>
    <t>姫</t>
    <phoneticPr fontId="4"/>
  </si>
  <si>
    <t>初めてのOL体験</t>
    <phoneticPr fontId="4"/>
  </si>
  <si>
    <t>邪悪を貫く愛の一弓</t>
    <phoneticPr fontId="4"/>
  </si>
  <si>
    <t>伝承</t>
    <phoneticPr fontId="4"/>
  </si>
  <si>
    <t>近畿</t>
    <phoneticPr fontId="4"/>
  </si>
  <si>
    <t>[新生]鳰姫</t>
    <phoneticPr fontId="4"/>
  </si>
  <si>
    <t>しんせいにおのひめ</t>
    <phoneticPr fontId="4"/>
  </si>
  <si>
    <t>2018/04防衛戦</t>
    <rPh sb="7" eb="10">
      <t>ボウエイセン</t>
    </rPh>
    <phoneticPr fontId="4"/>
  </si>
  <si>
    <t>2018/04龍神杯</t>
    <rPh sb="7" eb="9">
      <t>リュウジン</t>
    </rPh>
    <rPh sb="9" eb="10">
      <t>ハイ</t>
    </rPh>
    <phoneticPr fontId="4"/>
  </si>
  <si>
    <t>2018/04サイコロ</t>
    <phoneticPr fontId="4"/>
  </si>
  <si>
    <t>2018/04四神戦</t>
    <rPh sb="7" eb="8">
      <t>ヨン</t>
    </rPh>
    <rPh sb="8" eb="9">
      <t>シン</t>
    </rPh>
    <rPh sb="9" eb="10">
      <t>セン</t>
    </rPh>
    <phoneticPr fontId="4"/>
  </si>
  <si>
    <t>2020/6/15 12:00～2020/8/15 11:59</t>
    <phoneticPr fontId="4"/>
  </si>
  <si>
    <t>2018/05防衛戦</t>
    <rPh sb="7" eb="10">
      <t>ボウエイセン</t>
    </rPh>
    <phoneticPr fontId="4"/>
  </si>
  <si>
    <t>2018/05龍神杯</t>
    <rPh sb="7" eb="9">
      <t>リュウジン</t>
    </rPh>
    <rPh sb="9" eb="10">
      <t>ハイ</t>
    </rPh>
    <phoneticPr fontId="4"/>
  </si>
  <si>
    <t>2018/05サイコロ</t>
    <phoneticPr fontId="4"/>
  </si>
  <si>
    <t>2020/8/15 12:00～2020/10/15 11:59</t>
    <phoneticPr fontId="4"/>
  </si>
  <si>
    <t>【御手杵】結城秀康</t>
    <phoneticPr fontId="4"/>
  </si>
  <si>
    <t>関東</t>
    <phoneticPr fontId="4"/>
  </si>
  <si>
    <t>武人</t>
    <phoneticPr fontId="4"/>
  </si>
  <si>
    <t>おてぎねゆうきひでやす</t>
    <phoneticPr fontId="4"/>
  </si>
  <si>
    <t>天下三名槍・御手杵</t>
    <phoneticPr fontId="4"/>
  </si>
  <si>
    <t>[新生]ズワイガニちゃん</t>
    <phoneticPr fontId="4"/>
  </si>
  <si>
    <t>近畿</t>
    <phoneticPr fontId="4"/>
  </si>
  <si>
    <t>飲食</t>
    <phoneticPr fontId="4"/>
  </si>
  <si>
    <t>しんせいずわいがにちゃん</t>
    <phoneticPr fontId="4"/>
  </si>
  <si>
    <t>九死に一生の楚蟹</t>
    <phoneticPr fontId="4"/>
  </si>
  <si>
    <t>【サファリパーク】佐保姫</t>
    <phoneticPr fontId="4"/>
  </si>
  <si>
    <t>神秘</t>
    <phoneticPr fontId="4"/>
  </si>
  <si>
    <t>さふぁりぱーくさほひめ</t>
    <phoneticPr fontId="4"/>
  </si>
  <si>
    <t>佐保姫の染めゆく野辺</t>
    <phoneticPr fontId="4"/>
  </si>
  <si>
    <t>【女城主】三村鶴</t>
    <phoneticPr fontId="4"/>
  </si>
  <si>
    <t>中国・四国</t>
    <phoneticPr fontId="4"/>
  </si>
  <si>
    <t>姫</t>
    <phoneticPr fontId="4"/>
  </si>
  <si>
    <t>おんなじょうしゅみむらつる</t>
    <phoneticPr fontId="4"/>
  </si>
  <si>
    <t>天下無双の女丈夫</t>
    <phoneticPr fontId="4"/>
  </si>
  <si>
    <t>2018/05天下統一戦</t>
    <rPh sb="7" eb="9">
      <t>テンカ</t>
    </rPh>
    <rPh sb="9" eb="11">
      <t>トウイツ</t>
    </rPh>
    <rPh sb="11" eb="12">
      <t>セン</t>
    </rPh>
    <phoneticPr fontId="4"/>
  </si>
  <si>
    <t>6月四神戦</t>
    <rPh sb="1" eb="2">
      <t>ガツ</t>
    </rPh>
    <rPh sb="2" eb="3">
      <t>ヨン</t>
    </rPh>
    <rPh sb="3" eb="4">
      <t>シン</t>
    </rPh>
    <rPh sb="4" eb="5">
      <t>セン</t>
    </rPh>
    <phoneticPr fontId="4"/>
  </si>
  <si>
    <t>7月四神戦</t>
    <rPh sb="1" eb="2">
      <t>ガツ</t>
    </rPh>
    <rPh sb="2" eb="3">
      <t>ヨン</t>
    </rPh>
    <rPh sb="3" eb="4">
      <t>シン</t>
    </rPh>
    <rPh sb="4" eb="5">
      <t>セン</t>
    </rPh>
    <phoneticPr fontId="4"/>
  </si>
  <si>
    <t>飲食</t>
    <phoneticPr fontId="4"/>
  </si>
  <si>
    <t>チェリーパイ</t>
    <phoneticPr fontId="4"/>
  </si>
  <si>
    <t>ちぇりーぱい</t>
    <phoneticPr fontId="4"/>
  </si>
  <si>
    <t>美味しいチェリーパイ</t>
    <phoneticPr fontId="4"/>
  </si>
  <si>
    <t>【武家の花嫁】クチナシ</t>
    <phoneticPr fontId="4"/>
  </si>
  <si>
    <t>名物</t>
    <phoneticPr fontId="4"/>
  </si>
  <si>
    <t>ぶけのはなよめくちなし</t>
    <phoneticPr fontId="4"/>
  </si>
  <si>
    <t>美しき姫君</t>
    <phoneticPr fontId="4"/>
  </si>
  <si>
    <t>【大海賊の亡霊】かまいたち</t>
    <phoneticPr fontId="4"/>
  </si>
  <si>
    <t>だいかいぞくのぼうれいかまいたち</t>
    <phoneticPr fontId="4"/>
  </si>
  <si>
    <t>海賊斬る旋風の一撃</t>
    <phoneticPr fontId="4"/>
  </si>
  <si>
    <t>侍女ヴェリテー</t>
    <phoneticPr fontId="4"/>
  </si>
  <si>
    <t>じじょゔぇりてー</t>
    <phoneticPr fontId="4"/>
  </si>
  <si>
    <t>揺るがぬ忠誠</t>
    <phoneticPr fontId="4"/>
  </si>
  <si>
    <t>【水着マネージャー】雪鬼</t>
    <phoneticPr fontId="4"/>
  </si>
  <si>
    <t>みずぎまねーじゃーゆきおに</t>
    <phoneticPr fontId="4"/>
  </si>
  <si>
    <t>愛深き鬼マネージャー</t>
    <phoneticPr fontId="4"/>
  </si>
  <si>
    <t>ミエシャツ</t>
    <phoneticPr fontId="4"/>
  </si>
  <si>
    <t>みえしゃつ</t>
    <phoneticPr fontId="4"/>
  </si>
  <si>
    <t>ディザスタームーン</t>
    <phoneticPr fontId="4"/>
  </si>
  <si>
    <t>ヴァルネル</t>
    <phoneticPr fontId="4"/>
  </si>
  <si>
    <t>ゔぁるねる</t>
    <phoneticPr fontId="4"/>
  </si>
  <si>
    <t>憑依</t>
    <phoneticPr fontId="4"/>
  </si>
  <si>
    <t>ろすとてくのろじー</t>
    <phoneticPr fontId="4"/>
  </si>
  <si>
    <t>知性派</t>
    <phoneticPr fontId="4"/>
  </si>
  <si>
    <t>ロストテクノロジー</t>
    <phoneticPr fontId="4"/>
  </si>
  <si>
    <t>失われた技術</t>
    <phoneticPr fontId="4"/>
  </si>
  <si>
    <t>7月報酬</t>
    <rPh sb="1" eb="2">
      <t>ガツ</t>
    </rPh>
    <rPh sb="2" eb="4">
      <t>ホウシュウ</t>
    </rPh>
    <phoneticPr fontId="4"/>
  </si>
  <si>
    <t>8月報酬</t>
    <rPh sb="1" eb="2">
      <t>ガツ</t>
    </rPh>
    <rPh sb="2" eb="4">
      <t>ホウシュウ</t>
    </rPh>
    <phoneticPr fontId="4"/>
  </si>
  <si>
    <t>タイプ神秘・知性派・飲食の攻35％UP</t>
    <phoneticPr fontId="4"/>
  </si>
  <si>
    <t>大海原より来たりし栄養料理</t>
    <phoneticPr fontId="4"/>
  </si>
  <si>
    <t>[新生]よこすか海軍カレー</t>
    <phoneticPr fontId="4"/>
  </si>
  <si>
    <t>飲食</t>
    <phoneticPr fontId="4"/>
  </si>
  <si>
    <t>大海に響く鳴き声</t>
    <phoneticPr fontId="4"/>
  </si>
  <si>
    <t>[新生]シロイルカ</t>
    <phoneticPr fontId="4"/>
  </si>
  <si>
    <t>名物</t>
    <phoneticPr fontId="4"/>
  </si>
  <si>
    <t>しんせいしろいるか</t>
    <phoneticPr fontId="4"/>
  </si>
  <si>
    <t>しんせいよこすかかいぐんかれー</t>
    <phoneticPr fontId="4"/>
  </si>
  <si>
    <t>タイプ姫・伝承の攻30％UP　/　タイプ【武人】の攻20％UP</t>
  </si>
  <si>
    <t>タイプ偉人・名物の防30％UP　/　タイプ【妖怪】の防20％UP</t>
  </si>
  <si>
    <t>タイプ神秘・飲食の防30％UP　/　タイプ【知性派】の防20％UP</t>
  </si>
  <si>
    <t>タイプ妖怪・名物の防30％UP　/　タイプ【偉人】の防20％UP</t>
  </si>
  <si>
    <t>タイプ神秘・飲食の防35％UP　/　タイプ【知性派】の防10％UP</t>
  </si>
  <si>
    <t>タイプ偉人・妖怪の防25％UP　/　タイプ神秘・知性派・飲食の防12％UP</t>
  </si>
  <si>
    <t>タイプ武人・姫の防25％UP　/　タイプ偉人・妖怪・名物の防12％UP</t>
  </si>
  <si>
    <t>タイプ姫・伝承の攻30％UP　/　タイプ【武人】の攻25％UP</t>
  </si>
  <si>
    <t>タイプ姫・伝承の防30％UP　/　タイプ【武人】の防25％UP</t>
  </si>
  <si>
    <t>タイプ偉人・妖怪の防25％UP　/　タイプ【名物】の防20％UP</t>
  </si>
  <si>
    <t>タイプ妖怪・名物の攻25％UP　/　タイプ武人・姫の防20％DOWN</t>
  </si>
  <si>
    <t>タイプ神秘・知性派・飲食の防25％UP　/　所属が【西日本】と、それに属する地方・県、および【全国】の攻30％DOWN</t>
  </si>
  <si>
    <t>タイプ神秘・知性派・飲食の防25％UP　/　所属が【東日本】と、それに属する地方・県、および【全国】の攻30％DOWN</t>
  </si>
  <si>
    <t>タイプ偉人・妖怪・名物の攻20％UP　/　所属が【東日本】と、それに属する地方・県、および【全国】の防20％DOWN</t>
  </si>
  <si>
    <t>タイプ神秘・知性派・飲食の攻20％UP　/　所属が【東日本】と、それに属する地方・県、および【全国】の防20％DOWN</t>
  </si>
  <si>
    <t>タイプ偉人・妖怪の攻10％UP　/　タイプ武人・伝承の防12％DOWN</t>
  </si>
  <si>
    <t>タイプ姫・伝承の防15％UP　/　タイプ【武人】の防10％UP</t>
  </si>
  <si>
    <t>タイプ伝承・名物・知性派の攻80％DOWN　/　タイプ知性派・飲食の防30％UP</t>
  </si>
  <si>
    <t>タイプ偉人・妖怪・名物の防35％UP　/　タイプ飲食・武人・名物の攻10％DOWN</t>
  </si>
  <si>
    <t>タイプ偉人・妖怪・伝承の攻40％UP　/　タイプ名物・知性派・飲食・神秘の攻15％UP</t>
  </si>
  <si>
    <t>タイプ武人・伝承・妖怪の攻40％UP　/　タイプ偉人・姫の攻35％UP</t>
  </si>
  <si>
    <t>タイプ妖怪・名物の防50％UP　/　タイプ【偉人】の防35％UP</t>
  </si>
  <si>
    <t>タイプ伝承・武人・姫の攻15％UP　/　タイプ神秘・飲食・知性派・武人の防25％DOWN</t>
  </si>
  <si>
    <t>タイプ神秘・知性派・飲食の攻40％UP　/　タイプ神秘・知性派・飲食の防10％DOWN</t>
  </si>
  <si>
    <t>タイプ偉人・名物の攻70％UP　/　タイプ【妖怪】の攻40％UP</t>
  </si>
  <si>
    <t>タイプ【飲食】の防85％UP　/　タイプ神秘・知性派の防25％UP</t>
  </si>
  <si>
    <t>タイプ伝承・武人・姫の攻80％DOWN　/　タイプ神秘・知性派・飲食の防20％UP</t>
  </si>
  <si>
    <t>タイプ神秘・知性派・飲食の攻40％UP　/　タイプ伝承・武人・姫の防10％DOWN</t>
  </si>
  <si>
    <t>タイプ伝承・武人・姫の防80％DOWN　/　タイプ神秘・知性派・飲食の攻20％UP</t>
  </si>
  <si>
    <t>タイプ偉人・妖怪・名物の防25％UP　/　タイプ伝承・武人・姫の攻40％DOWN</t>
  </si>
  <si>
    <t>タイプ神秘・知性派・飲食の防35％UP　/　タイプ伝承・武人・姫の攻15％DOWN</t>
  </si>
  <si>
    <t>タイプ伝承・武人・姫の防80％DOWN　/　タイプ偉人・名物の攻50％UP</t>
  </si>
  <si>
    <t>タイプ【名物】の攻75％UP　/　タイプ偉人・妖怪の攻30％UP</t>
  </si>
  <si>
    <t>タイプ神秘・知性派の攻25％UP　/　タイプ【飲食】の攻10％UP</t>
  </si>
  <si>
    <t>タイプ神秘・知性派・飲食の防40％UP　/　タイプ伝承・武人・姫の攻10％DOWN</t>
  </si>
  <si>
    <t>タイプ偉人・妖怪・名物の防25％UP　/　タイプ武人・伝承の攻60％DOWN</t>
  </si>
  <si>
    <t>タイプ姫・伝承の防50％UP　/　タイプ【武人】の防35％UP</t>
  </si>
  <si>
    <t>タイプ神秘・飲食の防25％UP　/　タイプ【知性派】の防10％UP</t>
  </si>
  <si>
    <t>タイプ【武人】の攻75％UP　/　タイプ姫・伝承の攻30％UP</t>
  </si>
  <si>
    <t>タイプ伝承・武人・姫の攻25％UP　/　タイプ武人・姫の防60％DOWN</t>
  </si>
  <si>
    <t>タイプ【名物】の防75％UP　/　タイプ偉人・妖怪の防30％UP</t>
  </si>
  <si>
    <t>タイプ【妖怪】の防85％UP　/　タイプ偉人・名物の防25％UP</t>
  </si>
  <si>
    <t>タイプ姫・伝承の攻50％UP　/　タイプ【武人】の攻35％UP</t>
  </si>
  <si>
    <t>タイプ武人・姫の防100％DOWN　/　タイプ武人・伝承の攻20％UP</t>
  </si>
  <si>
    <t>タイプ武人・伝承の攻90％DOWN　/　タイプ神秘・知性派・飲食の防15％UP</t>
  </si>
  <si>
    <t>タイプ【飲食】の攻95％UP　/　タイプ神秘・知性派の攻20％UP</t>
  </si>
  <si>
    <t>タイプ伝承・武人・姫の防40％UP　/　タイプ伝承・武人・姫の攻10％DOWN</t>
  </si>
  <si>
    <t>タイプ【名物】の攻40％UP　/　タイプ【妖怪】の攻20％UP</t>
  </si>
  <si>
    <t>タイプ【偉人】の攻85％UP　/　タイプ妖怪・名物の攻25％UP</t>
  </si>
  <si>
    <t>タイプ偉人・妖怪・名物の防80％DOWN　/　タイプ武人・姫の攻25％UP</t>
  </si>
  <si>
    <t>タイプ姫・伝承の防40％UP　/　タイプ【武人】の防25％UP</t>
  </si>
  <si>
    <t>タイプ【武人】の防95％UP　/　タイプ姫・伝承の防20％UP</t>
  </si>
  <si>
    <t>タイプ武人・姫の攻100％DOWN　/　タイプ武人・伝承の防20％UP</t>
  </si>
  <si>
    <t>タイプ神秘・知性派・飲食の攻35％UP　/　タイプ神秘・知性派・飲食の防10％DOWN</t>
  </si>
  <si>
    <t>タイプ飲食・武人の攻100％DOWN　/　タイプ神秘・知性派の防30％UP</t>
  </si>
  <si>
    <t>タイプ伝承・武人・姫の防85％DOWN　/　タイプ知性派・飲食の攻30％UP</t>
  </si>
  <si>
    <t>タイプ【姫】の攻35％UP　/　タイプ武人・伝承の攻20％UP</t>
  </si>
  <si>
    <t>タイプ妖怪・名物の防50％UP　/　タイプ【偉人】の防20％UP</t>
  </si>
  <si>
    <t>タイプ伝承・武人・姫の防45％UP　/　タイプ飲食・武人・名物の攻10％DOWN</t>
  </si>
  <si>
    <t>タイプ【武人】の攻90％UP　/　タイプ姫・伝承の攻30％UP</t>
  </si>
  <si>
    <t>タイプ神秘・知性派の攻30％UP　/　タイプ【飲食】の攻15％UP</t>
  </si>
  <si>
    <t>タイプ偉人・妖怪・名物の防45％UP　/　タイプ名物・武人・知性派の攻10％DOWN</t>
  </si>
  <si>
    <t>タイプ【名物】の攻35％UP　/　タイプ偉人・妖怪の攻20％UP</t>
  </si>
  <si>
    <t>タイプ神秘・知性派・飲食の攻45％UP　/　タイプ飲食・武人・名物の防10％DOWN</t>
  </si>
  <si>
    <t>タイプ妖怪・名物の攻30％UP　/　タイプ【偉人】の攻15％UP</t>
  </si>
  <si>
    <t>タイプ飲食・武人・名物の防85％DOWN　/　タイプ武人・姫の攻30％UP</t>
  </si>
  <si>
    <t>タイプ飲食・武人・名物の防85％DOWN　/　タイプ知性派・飲食の攻30％UP</t>
  </si>
  <si>
    <t>タイプ【姫】の防35％UP　/　タイプ武人・伝承の防20％UP</t>
  </si>
  <si>
    <t>タイプ偉人・妖怪の攻40％UP　/　タイプ【名物】の攻20％UP</t>
  </si>
  <si>
    <t>夜鳴く妖の雀</t>
    <phoneticPr fontId="4"/>
  </si>
  <si>
    <t>しんせいようちょうよすずめ</t>
    <phoneticPr fontId="4"/>
  </si>
  <si>
    <t>[新生]【妖鳥】夜雀</t>
    <phoneticPr fontId="4"/>
  </si>
  <si>
    <t>【ポリス】フグ刺しちゃん</t>
    <phoneticPr fontId="4"/>
  </si>
  <si>
    <t>ぽりすふぐさしちゃん</t>
    <phoneticPr fontId="4"/>
  </si>
  <si>
    <t>飲食</t>
    <phoneticPr fontId="4"/>
  </si>
  <si>
    <t>『鉄砲』と呼ばれた警察官</t>
    <phoneticPr fontId="4"/>
  </si>
  <si>
    <t>【魔法学校】ミス・ヘイロ</t>
    <phoneticPr fontId="4"/>
  </si>
  <si>
    <t>まほうがっこうみす・へいろ</t>
    <phoneticPr fontId="4"/>
  </si>
  <si>
    <t>知性派</t>
    <phoneticPr fontId="4"/>
  </si>
  <si>
    <t>麗しき才女</t>
    <phoneticPr fontId="4"/>
  </si>
  <si>
    <t>12+竜+竜+竜+竜</t>
    <rPh sb="3" eb="4">
      <t>リュウ</t>
    </rPh>
    <rPh sb="5" eb="6">
      <t>リュウ</t>
    </rPh>
    <rPh sb="7" eb="8">
      <t>リュウ</t>
    </rPh>
    <phoneticPr fontId="4"/>
  </si>
  <si>
    <t>図鑑済 処10*8,11*2,12*2,13*0</t>
  </si>
  <si>
    <t>図鑑済 処10*8,11*3,12*0,13*2</t>
  </si>
  <si>
    <t>図鑑済 処10*9,11*3,12*0,13*1</t>
  </si>
  <si>
    <t>図鑑済 処10*6,11*1,12*2,13*2</t>
  </si>
  <si>
    <t>図鑑済 処10*7,11*3,12*0,13*1</t>
    <phoneticPr fontId="1"/>
  </si>
  <si>
    <t>図鑑済 処10*8,11*1,12*2,13*1</t>
    <phoneticPr fontId="1"/>
  </si>
  <si>
    <t>図鑑済 処10*5,11*2,12*4,13*1</t>
    <phoneticPr fontId="1"/>
  </si>
  <si>
    <t>図鑑済 処10*14,11*3,12*3,13*1</t>
    <phoneticPr fontId="1"/>
  </si>
  <si>
    <t>図鑑済 処10*12,11*0,12*1,13*0</t>
    <phoneticPr fontId="1"/>
  </si>
  <si>
    <t>図鑑済 処10*6,11*5,12*1,13*0</t>
    <phoneticPr fontId="1"/>
  </si>
  <si>
    <t>図鑑済 処10*5,11*0,12*1,13*0 処13+10+10 処13+10 処11</t>
    <rPh sb="25" eb="26">
      <t>ショ</t>
    </rPh>
    <rPh sb="35" eb="36">
      <t>ショ</t>
    </rPh>
    <rPh sb="42" eb="43">
      <t>ショ</t>
    </rPh>
    <phoneticPr fontId="1"/>
  </si>
  <si>
    <t>図鑑済 処10*9,11*2,12*2,13*3</t>
    <phoneticPr fontId="1"/>
  </si>
  <si>
    <t>図鑑済 処10*6,11*5,12*5,13*0</t>
    <phoneticPr fontId="1"/>
  </si>
  <si>
    <t>図鑑済 処10*4,11*4,12*2,13*2</t>
    <phoneticPr fontId="1"/>
  </si>
  <si>
    <t>図鑑済 処10*6,11*2,12*2,13*0</t>
    <phoneticPr fontId="1"/>
  </si>
  <si>
    <t>図鑑済 処10*5,11*3,12*4,13*0</t>
    <phoneticPr fontId="1"/>
  </si>
  <si>
    <t>図鑑済 処10*6,11*5,12*1,13*2</t>
    <phoneticPr fontId="1"/>
  </si>
  <si>
    <t>図鑑済 処10*8,11*5,12*1,13*1</t>
    <phoneticPr fontId="1"/>
  </si>
  <si>
    <t>図鑑済 処10*6,11*2,12*0,13*3</t>
    <phoneticPr fontId="1"/>
  </si>
  <si>
    <t>図鑑済 処10*9,11*4,12*0,13*0</t>
    <phoneticPr fontId="1"/>
  </si>
  <si>
    <t>図鑑済 処10*5,11*4,12*0,13*1</t>
    <phoneticPr fontId="1"/>
  </si>
  <si>
    <t>図鑑済 処10*7,11*4,12*1,13*2</t>
    <phoneticPr fontId="1"/>
  </si>
  <si>
    <t>図鑑済 処10*7,11*2,12*1,13*0</t>
    <phoneticPr fontId="1"/>
  </si>
  <si>
    <t>図鑑済 処10*6,11*2,12*1,13*1</t>
    <phoneticPr fontId="1"/>
  </si>
  <si>
    <t>図鑑済 処10*8,11*2,12*1,13*1</t>
    <phoneticPr fontId="1"/>
  </si>
  <si>
    <t>図鑑済 処10*9,11*3,12*2,13*1</t>
    <phoneticPr fontId="1"/>
  </si>
  <si>
    <t>図鑑済 処10*10,11*6,12*1,13*1</t>
    <phoneticPr fontId="1"/>
  </si>
  <si>
    <t>図鑑済 処10*13,11*4,12*1</t>
    <phoneticPr fontId="1"/>
  </si>
  <si>
    <t>図鑑済 処10*8,11*2,12*2,13*1</t>
    <phoneticPr fontId="1"/>
  </si>
  <si>
    <t>図鑑済 処10*13,11*4,12*2,13*1</t>
    <phoneticPr fontId="1"/>
  </si>
  <si>
    <t>図鑑済 処10*9,11*1,12*1</t>
    <phoneticPr fontId="1"/>
  </si>
  <si>
    <t>図鑑済 処10*4,11*5,12*1,13*3</t>
    <phoneticPr fontId="1"/>
  </si>
  <si>
    <t>図鑑済 処10*6,11*1,12*1,13*1</t>
    <phoneticPr fontId="1"/>
  </si>
  <si>
    <t>図鑑済 処10*6,11*4,12*2</t>
    <rPh sb="4" eb="5">
      <t>ショ</t>
    </rPh>
    <phoneticPr fontId="1"/>
  </si>
  <si>
    <t>図鑑済 処13+10+10,12+10,12*2,11*2,10*2</t>
    <rPh sb="4" eb="5">
      <t>ショ</t>
    </rPh>
    <phoneticPr fontId="4"/>
  </si>
  <si>
    <t>図鑑済 処10*7,11*2,12*1,13*2</t>
    <phoneticPr fontId="1"/>
  </si>
  <si>
    <t>図鑑済 処10*9,11*2,12*1,13*2</t>
    <rPh sb="4" eb="5">
      <t>ショ</t>
    </rPh>
    <phoneticPr fontId="1"/>
  </si>
  <si>
    <t>図鑑済 処10*8,11*6,12*1,13*2</t>
    <rPh sb="4" eb="5">
      <t>ショ</t>
    </rPh>
    <phoneticPr fontId="1"/>
  </si>
  <si>
    <t>図鑑済 処10*8,11*1,13*1</t>
    <rPh sb="4" eb="5">
      <t>ショ</t>
    </rPh>
    <phoneticPr fontId="1"/>
  </si>
  <si>
    <t>図鑑済 処10*6,11*4,12*3</t>
    <rPh sb="4" eb="5">
      <t>ショ</t>
    </rPh>
    <phoneticPr fontId="1"/>
  </si>
  <si>
    <t>図鑑済 処10*6,12*1</t>
    <rPh sb="4" eb="5">
      <t>ショ</t>
    </rPh>
    <phoneticPr fontId="1"/>
  </si>
  <si>
    <t>図鑑済 処10*7,11*6</t>
    <phoneticPr fontId="1"/>
  </si>
  <si>
    <t>図鑑済 処10*6,11*1</t>
    <rPh sb="4" eb="5">
      <t>ショ</t>
    </rPh>
    <phoneticPr fontId="1"/>
  </si>
  <si>
    <t>図鑑済 処10*4,11*2,13*1</t>
    <phoneticPr fontId="1"/>
  </si>
  <si>
    <t>図鑑済 処10*5,11*3,12*1</t>
    <phoneticPr fontId="1"/>
  </si>
  <si>
    <t>図鑑済 処10*3,11*1,12*1</t>
    <phoneticPr fontId="1"/>
  </si>
  <si>
    <t>図鑑済 17+?+?,?,?,?,? 処10*5,12*1,13*1</t>
    <rPh sb="19" eb="20">
      <t>ショ</t>
    </rPh>
    <phoneticPr fontId="4"/>
  </si>
  <si>
    <t>図鑑済 処13*3,11*1</t>
    <rPh sb="4" eb="5">
      <t>ショ</t>
    </rPh>
    <phoneticPr fontId="1"/>
  </si>
  <si>
    <t>図鑑済 処10*1,12*1</t>
    <phoneticPr fontId="1"/>
  </si>
  <si>
    <t>図鑑済 処10*1,11*1</t>
    <phoneticPr fontId="1"/>
  </si>
  <si>
    <t>図鑑済 処17+14+(16+15),10,11,12,12 処10*5,11*1</t>
    <rPh sb="4" eb="5">
      <t>ショ</t>
    </rPh>
    <phoneticPr fontId="4"/>
  </si>
  <si>
    <t>図鑑済 処10*2</t>
  </si>
  <si>
    <t>図鑑済 処10*2,11*1</t>
    <rPh sb="4" eb="5">
      <t>トコロ</t>
    </rPh>
    <phoneticPr fontId="1"/>
  </si>
  <si>
    <t>図鑑済 処17+14+(16+15),10,10,11,12 処10*4,11*1</t>
    <rPh sb="4" eb="5">
      <t>ショ</t>
    </rPh>
    <rPh sb="31" eb="32">
      <t>トコロ</t>
    </rPh>
    <phoneticPr fontId="1"/>
  </si>
  <si>
    <t>図鑑済 処10*1,11*2,12*1</t>
    <rPh sb="4" eb="5">
      <t>トコロ</t>
    </rPh>
    <phoneticPr fontId="1"/>
  </si>
  <si>
    <t>図鑑済 処10*5,11*2</t>
    <phoneticPr fontId="1"/>
  </si>
  <si>
    <t>図鑑済 処10*7,11*1,12*1,13*3</t>
    <phoneticPr fontId="1"/>
  </si>
  <si>
    <t>図鑑済 処10*5,11*1,13*1</t>
    <phoneticPr fontId="1"/>
  </si>
  <si>
    <t>図鑑済 処10*5,11*3,13*2</t>
    <rPh sb="4" eb="5">
      <t>トコロ</t>
    </rPh>
    <phoneticPr fontId="1"/>
  </si>
  <si>
    <t>図鑑済 処10*5,11*1</t>
    <phoneticPr fontId="1"/>
  </si>
  <si>
    <t>図鑑済 処10*11,11*2,12*3</t>
    <phoneticPr fontId="1"/>
  </si>
  <si>
    <t>図鑑済 処10*2,11*2,12*1</t>
    <rPh sb="4" eb="5">
      <t>トコロ</t>
    </rPh>
    <phoneticPr fontId="1"/>
  </si>
  <si>
    <t>図鑑済 処10*4,11*2</t>
    <phoneticPr fontId="1"/>
  </si>
  <si>
    <t>図鑑済 処10*4,11*5,12*1,13*2</t>
  </si>
  <si>
    <t>図鑑済 処10*2,11*4,12*1</t>
    <rPh sb="4" eb="5">
      <t>トコロ</t>
    </rPh>
    <phoneticPr fontId="1"/>
  </si>
  <si>
    <t>【月光】月宮天センダラ</t>
    <phoneticPr fontId="4"/>
  </si>
  <si>
    <t>姫</t>
    <phoneticPr fontId="4"/>
  </si>
  <si>
    <t>夜舞満月心</t>
    <phoneticPr fontId="4"/>
  </si>
  <si>
    <t>げっこうがっくてんせんだら</t>
    <phoneticPr fontId="4"/>
  </si>
  <si>
    <t>14+竜+竜+竜+竜</t>
    <rPh sb="3" eb="4">
      <t>リュウ</t>
    </rPh>
    <phoneticPr fontId="4"/>
  </si>
  <si>
    <t>図鑑済 処10*3,11*2,12*0,13*0</t>
    <phoneticPr fontId="4"/>
  </si>
  <si>
    <t>C7攻16616防22949 処11+10+10 処11+10 処11,10</t>
    <rPh sb="2" eb="3">
      <t>コウ</t>
    </rPh>
    <rPh sb="8" eb="9">
      <t>ボウ</t>
    </rPh>
    <phoneticPr fontId="4"/>
  </si>
  <si>
    <t>C7攻16788防22778 処12+10+10 処11+10 処11</t>
    <phoneticPr fontId="4"/>
  </si>
  <si>
    <t>C7攻16788防22778 処13+10+11 処13+10 処13,11,11</t>
    <phoneticPr fontId="4"/>
  </si>
  <si>
    <t>C8攻26032防19187 処13+10+11 処13+10</t>
    <phoneticPr fontId="4"/>
  </si>
  <si>
    <t>C10攻32540防23984 処12+10+10 処10+10 処10,10,10</t>
    <phoneticPr fontId="4"/>
  </si>
  <si>
    <t>*42302</t>
    <phoneticPr fontId="4"/>
  </si>
  <si>
    <t>*31179</t>
    <phoneticPr fontId="4"/>
  </si>
  <si>
    <t>*42619</t>
    <phoneticPr fontId="4"/>
  </si>
  <si>
    <t>*30858</t>
    <phoneticPr fontId="4"/>
  </si>
  <si>
    <t>【海鮮】ちらし寿司</t>
    <phoneticPr fontId="4"/>
  </si>
  <si>
    <t>羽柴秀吉</t>
    <phoneticPr fontId="4"/>
  </si>
  <si>
    <t>カーネーション</t>
    <phoneticPr fontId="4"/>
  </si>
  <si>
    <t>かいせんちらしずし</t>
    <phoneticPr fontId="4"/>
  </si>
  <si>
    <t>はしばひでよし</t>
    <phoneticPr fontId="4"/>
  </si>
  <si>
    <t>かーねーしょん</t>
    <phoneticPr fontId="4"/>
  </si>
  <si>
    <t>北海道・東北</t>
    <phoneticPr fontId="4"/>
  </si>
  <si>
    <t>知性派</t>
    <phoneticPr fontId="4"/>
  </si>
  <si>
    <t>海老名りん</t>
    <phoneticPr fontId="4"/>
  </si>
  <si>
    <t>名物</t>
    <phoneticPr fontId="4"/>
  </si>
  <si>
    <t>天童将棋駒</t>
    <phoneticPr fontId="4"/>
  </si>
  <si>
    <t>鷹司信子</t>
    <phoneticPr fontId="4"/>
  </si>
  <si>
    <t>姫</t>
    <phoneticPr fontId="4"/>
  </si>
  <si>
    <t>関東</t>
    <phoneticPr fontId="4"/>
  </si>
  <si>
    <t>アルカヒコノミコト</t>
    <phoneticPr fontId="4"/>
  </si>
  <si>
    <t>神秘</t>
    <phoneticPr fontId="4"/>
  </si>
  <si>
    <t>力持ち幽霊</t>
    <phoneticPr fontId="4"/>
  </si>
  <si>
    <t>妖怪</t>
    <phoneticPr fontId="4"/>
  </si>
  <si>
    <t>中部</t>
    <phoneticPr fontId="4"/>
  </si>
  <si>
    <t>厄除けだんご</t>
    <phoneticPr fontId="4"/>
  </si>
  <si>
    <t>飲食</t>
    <phoneticPr fontId="4"/>
  </si>
  <si>
    <t>バスバーガー</t>
    <phoneticPr fontId="4"/>
  </si>
  <si>
    <t>近畿</t>
    <phoneticPr fontId="4"/>
  </si>
  <si>
    <t>富岡鉄斎</t>
    <phoneticPr fontId="4"/>
  </si>
  <si>
    <t>【鳥取城】吉川経家</t>
    <phoneticPr fontId="4"/>
  </si>
  <si>
    <t>中国・四国</t>
    <phoneticPr fontId="4"/>
  </si>
  <si>
    <t>武人</t>
    <phoneticPr fontId="4"/>
  </si>
  <si>
    <t>シバテン</t>
    <phoneticPr fontId="4"/>
  </si>
  <si>
    <t>タツクチナワ</t>
    <phoneticPr fontId="4"/>
  </si>
  <si>
    <t>九州・沖縄</t>
    <phoneticPr fontId="4"/>
  </si>
  <si>
    <t>円信院殿</t>
    <phoneticPr fontId="4"/>
  </si>
  <si>
    <t>えびなりん</t>
    <phoneticPr fontId="4"/>
  </si>
  <si>
    <t>てんどうしょうぎごま</t>
    <phoneticPr fontId="4"/>
  </si>
  <si>
    <t>たかつかさのぶこ</t>
    <phoneticPr fontId="4"/>
  </si>
  <si>
    <t>あるかひこのみこと</t>
    <phoneticPr fontId="4"/>
  </si>
  <si>
    <t>ちからもちゆうれい</t>
    <phoneticPr fontId="4"/>
  </si>
  <si>
    <t>やくよけだんご</t>
    <phoneticPr fontId="4"/>
  </si>
  <si>
    <t>ばずばーがー</t>
    <phoneticPr fontId="4"/>
  </si>
  <si>
    <t>とみおかてっさい</t>
    <phoneticPr fontId="4"/>
  </si>
  <si>
    <t>とっとりじょうきっかわつねいえ</t>
    <phoneticPr fontId="4"/>
  </si>
  <si>
    <t>しばてん</t>
    <phoneticPr fontId="4"/>
  </si>
  <si>
    <t>たつくちなわ</t>
    <phoneticPr fontId="4"/>
  </si>
  <si>
    <t>えんしんいんでん</t>
    <phoneticPr fontId="4"/>
  </si>
  <si>
    <t>*は参考値(他コスト攻防値より算出・誤差±3程度)</t>
    <rPh sb="2" eb="4">
      <t>サンコウ</t>
    </rPh>
    <rPh sb="4" eb="5">
      <t>アタイ</t>
    </rPh>
    <rPh sb="18" eb="20">
      <t>ゴサ</t>
    </rPh>
    <rPh sb="22" eb="24">
      <t>テイド</t>
    </rPh>
    <phoneticPr fontId="4"/>
  </si>
  <si>
    <t>タイプ偉人・名物の攻25％UP　/　タイプ【妖怪】の攻20%UP</t>
    <rPh sb="21" eb="23">
      <t>ヨウカイ</t>
    </rPh>
    <rPh sb="25" eb="26">
      <t>コウ</t>
    </rPh>
    <phoneticPr fontId="4"/>
  </si>
  <si>
    <t>9月報酬</t>
    <rPh sb="1" eb="2">
      <t>ガツ</t>
    </rPh>
    <rPh sb="2" eb="4">
      <t>ホウシュウ</t>
    </rPh>
    <phoneticPr fontId="4"/>
  </si>
  <si>
    <t>10月報酬</t>
    <rPh sb="2" eb="3">
      <t>ガツ</t>
    </rPh>
    <rPh sb="3" eb="5">
      <t>ホウシュウ</t>
    </rPh>
    <phoneticPr fontId="4"/>
  </si>
  <si>
    <t>しんせいきじゅつ</t>
    <phoneticPr fontId="4"/>
  </si>
  <si>
    <t>[新生]奇術</t>
    <phoneticPr fontId="4"/>
  </si>
  <si>
    <t>無より出でし芸の戯れ</t>
    <phoneticPr fontId="4"/>
  </si>
  <si>
    <t>鳥獣を纏う探偵魂</t>
    <phoneticPr fontId="4"/>
  </si>
  <si>
    <t>【怪盗からの挑戦状】スカジャン娘</t>
    <phoneticPr fontId="4"/>
  </si>
  <si>
    <t>かいとうからのちょうせんじょうすかじゃんむすめ</t>
    <phoneticPr fontId="4"/>
  </si>
  <si>
    <t>名物</t>
    <phoneticPr fontId="4"/>
  </si>
  <si>
    <t>ヴァンパイアクイーン</t>
    <phoneticPr fontId="4"/>
  </si>
  <si>
    <t>ばんぱいあくいーん</t>
    <phoneticPr fontId="4"/>
  </si>
  <si>
    <t>永遠の強制</t>
    <phoneticPr fontId="4"/>
  </si>
  <si>
    <t>2020/10/15 12:00～2020/12/15 11:59</t>
    <phoneticPr fontId="4"/>
  </si>
  <si>
    <t>2018/06防衛戦</t>
    <rPh sb="7" eb="10">
      <t>ボウエイセン</t>
    </rPh>
    <phoneticPr fontId="4"/>
  </si>
  <si>
    <t>2018/06龍神杯</t>
    <phoneticPr fontId="4"/>
  </si>
  <si>
    <t>2018/06サイコロ</t>
    <phoneticPr fontId="4"/>
  </si>
  <si>
    <t>2018/06四神戦</t>
    <rPh sb="7" eb="8">
      <t>ヨッツ</t>
    </rPh>
    <rPh sb="8" eb="9">
      <t>シン</t>
    </rPh>
    <rPh sb="9" eb="10">
      <t>セン</t>
    </rPh>
    <phoneticPr fontId="4"/>
  </si>
  <si>
    <t>川崎八右衛門財閥</t>
    <phoneticPr fontId="4"/>
  </si>
  <si>
    <t>偉人</t>
    <phoneticPr fontId="4"/>
  </si>
  <si>
    <t>かわさきはちえもん</t>
    <phoneticPr fontId="4"/>
  </si>
  <si>
    <t>川崎八右衛門</t>
    <phoneticPr fontId="4"/>
  </si>
  <si>
    <t>関東</t>
    <phoneticPr fontId="4"/>
  </si>
  <si>
    <t>女鉄砲隊の統率者</t>
    <phoneticPr fontId="4"/>
  </si>
  <si>
    <t>武人</t>
    <phoneticPr fontId="4"/>
  </si>
  <si>
    <t>しんせいいけだせん</t>
    <phoneticPr fontId="4"/>
  </si>
  <si>
    <t>[新生]池田せん</t>
    <phoneticPr fontId="4"/>
  </si>
  <si>
    <t>中部</t>
    <phoneticPr fontId="4"/>
  </si>
  <si>
    <t>穢れなき聖地への足跡</t>
    <phoneticPr fontId="4"/>
  </si>
  <si>
    <t>伝承</t>
    <phoneticPr fontId="4"/>
  </si>
  <si>
    <t>しんせいあまみきよ</t>
    <phoneticPr fontId="4"/>
  </si>
  <si>
    <t>[新生]アマミキヨ</t>
    <phoneticPr fontId="4"/>
  </si>
  <si>
    <t>九州・沖縄</t>
    <phoneticPr fontId="4"/>
  </si>
  <si>
    <t>太陽光の観測</t>
    <phoneticPr fontId="4"/>
  </si>
  <si>
    <t>しんせいおーろらちゃん</t>
    <phoneticPr fontId="4"/>
  </si>
  <si>
    <t>[新生]オーロラちゃん</t>
    <phoneticPr fontId="4"/>
  </si>
  <si>
    <t>北海道・東北</t>
    <phoneticPr fontId="4"/>
  </si>
  <si>
    <t>神秘</t>
    <phoneticPr fontId="4"/>
  </si>
  <si>
    <t>図鑑済 処10*0,11*0,12*0,13*0</t>
    <phoneticPr fontId="4"/>
  </si>
  <si>
    <t>図鑑済 処10*2,11*0,12*0,13*0</t>
    <phoneticPr fontId="4"/>
  </si>
  <si>
    <t>図鑑済 処10*5,11*3,12*2,13*0</t>
    <phoneticPr fontId="4"/>
  </si>
  <si>
    <t>ブラッククイーン</t>
    <phoneticPr fontId="4"/>
  </si>
  <si>
    <t>ぶらっくくいーん</t>
    <phoneticPr fontId="4"/>
  </si>
  <si>
    <t>盤上の女王</t>
    <phoneticPr fontId="4"/>
  </si>
  <si>
    <t>11月報酬</t>
    <rPh sb="2" eb="3">
      <t>ガツ</t>
    </rPh>
    <rPh sb="3" eb="5">
      <t>ホウシュウ</t>
    </rPh>
    <phoneticPr fontId="4"/>
  </si>
  <si>
    <t>[新生]【秋舞】猫神</t>
    <phoneticPr fontId="4"/>
  </si>
  <si>
    <t>にんげん大好き猫神様</t>
    <phoneticPr fontId="4"/>
  </si>
  <si>
    <t>しんせいあきまいねこがみ</t>
    <phoneticPr fontId="4"/>
  </si>
  <si>
    <t>敬台院</t>
    <phoneticPr fontId="4"/>
  </si>
  <si>
    <t>狸の恩返し</t>
    <phoneticPr fontId="4"/>
  </si>
  <si>
    <t>浅野幸長</t>
    <phoneticPr fontId="4"/>
  </si>
  <si>
    <t>最上徳内</t>
    <phoneticPr fontId="4"/>
  </si>
  <si>
    <t>鬼怒川温泉</t>
    <phoneticPr fontId="4"/>
  </si>
  <si>
    <t>叢原火</t>
    <phoneticPr fontId="4"/>
  </si>
  <si>
    <t>乙前</t>
    <phoneticPr fontId="4"/>
  </si>
  <si>
    <t>鳴門金時</t>
    <phoneticPr fontId="4"/>
  </si>
  <si>
    <t>識名権現</t>
    <phoneticPr fontId="4"/>
  </si>
  <si>
    <t>図鑑済 処10*3,11*1,12*0,13*1</t>
    <phoneticPr fontId="4"/>
  </si>
  <si>
    <t>図鑑済 処10*3,11*0,12*1,13*0</t>
    <phoneticPr fontId="4"/>
  </si>
  <si>
    <t>図鑑済 処10*2,11*0,12*1,13*0</t>
    <phoneticPr fontId="4"/>
  </si>
  <si>
    <t>図鑑済 処10*1,11*0,12*0,13*0</t>
    <phoneticPr fontId="4"/>
  </si>
  <si>
    <t>図鑑済 処10*1,11*1,12*1,13*0</t>
    <phoneticPr fontId="4"/>
  </si>
  <si>
    <t>予[18]+竜+特大</t>
    <rPh sb="8" eb="10">
      <t>トクダイ</t>
    </rPh>
    <phoneticPr fontId="4"/>
  </si>
  <si>
    <t>予[18]+竜</t>
    <phoneticPr fontId="4"/>
  </si>
  <si>
    <t>13+竜+竜? 予[18]+竜</t>
    <rPh sb="3" eb="4">
      <t>リュウ</t>
    </rPh>
    <rPh sb="5" eb="6">
      <t>リュウ</t>
    </rPh>
    <phoneticPr fontId="4"/>
  </si>
  <si>
    <t>予18+竜+(13+竜)</t>
    <rPh sb="0" eb="1">
      <t>ヨ</t>
    </rPh>
    <phoneticPr fontId="4"/>
  </si>
  <si>
    <t>予[18]+竜+(13+竜)</t>
    <phoneticPr fontId="4"/>
  </si>
  <si>
    <t>予[18]+竜+(15+竜)</t>
    <rPh sb="6" eb="7">
      <t>リュウ</t>
    </rPh>
    <phoneticPr fontId="4"/>
  </si>
  <si>
    <t>予18+竜+([18]+竜)</t>
    <rPh sb="4" eb="5">
      <t>リュウ</t>
    </rPh>
    <phoneticPr fontId="4"/>
  </si>
  <si>
    <t>予[18]+竜+([18]+竜)</t>
    <phoneticPr fontId="4"/>
  </si>
  <si>
    <t>18,</t>
    <phoneticPr fontId="4"/>
  </si>
  <si>
    <t>18,13</t>
    <phoneticPr fontId="4"/>
  </si>
  <si>
    <t>図鑑済 処10*7,11*2,12*0,13*0</t>
    <phoneticPr fontId="4"/>
  </si>
  <si>
    <t>図鑑済 処10*2,11*4,12*0,13*0</t>
    <phoneticPr fontId="4"/>
  </si>
  <si>
    <t>図鑑済 処10*4,11*2,12*1,13*1</t>
    <phoneticPr fontId="4"/>
  </si>
  <si>
    <t>12月報酬</t>
    <rPh sb="2" eb="3">
      <t>ガツ</t>
    </rPh>
    <rPh sb="3" eb="5">
      <t>ホウシュウ</t>
    </rPh>
    <phoneticPr fontId="4"/>
  </si>
  <si>
    <t>[新生]雪舟</t>
    <rPh sb="4" eb="6">
      <t>セッシュウ</t>
    </rPh>
    <phoneticPr fontId="4"/>
  </si>
  <si>
    <t>2021年</t>
    <rPh sb="4" eb="5">
      <t>ネン</t>
    </rPh>
    <phoneticPr fontId="4"/>
  </si>
  <si>
    <t>【サンタ部隊】村上水軍</t>
    <phoneticPr fontId="4"/>
  </si>
  <si>
    <t>武人</t>
    <phoneticPr fontId="4"/>
  </si>
  <si>
    <t>海賊VSギャングの聖なる戦い</t>
    <phoneticPr fontId="4"/>
  </si>
  <si>
    <t>さんたぶたいむらかみすいぐん</t>
    <phoneticPr fontId="4"/>
  </si>
  <si>
    <t>19+竜+竜+竜+極大,11,12</t>
    <phoneticPr fontId="4"/>
  </si>
  <si>
    <t>【ヴァンパイアハンター】人影花</t>
    <phoneticPr fontId="4"/>
  </si>
  <si>
    <t>人影告げる神秘の花</t>
    <phoneticPr fontId="4"/>
  </si>
  <si>
    <t>【百獣姫】レオ</t>
    <phoneticPr fontId="4"/>
  </si>
  <si>
    <t>猛獣少女</t>
    <phoneticPr fontId="4"/>
  </si>
  <si>
    <t>秋の使者カシア</t>
    <phoneticPr fontId="4"/>
  </si>
  <si>
    <t>秋の風</t>
    <phoneticPr fontId="4"/>
  </si>
  <si>
    <t>あきのししゃかしあ</t>
    <phoneticPr fontId="4"/>
  </si>
  <si>
    <t>ひゃくじゅうきれお</t>
    <phoneticPr fontId="4"/>
  </si>
  <si>
    <t>ばんぱいあはんたーひとかげはな</t>
    <phoneticPr fontId="4"/>
  </si>
  <si>
    <t>14+竜+竜+竜+竜</t>
    <phoneticPr fontId="4"/>
  </si>
  <si>
    <t>瑞雲たなびく刃</t>
    <phoneticPr fontId="4"/>
  </si>
  <si>
    <t>【大吉】村雲江</t>
    <phoneticPr fontId="4"/>
  </si>
  <si>
    <t>だいきちむらくもごう</t>
    <phoneticPr fontId="4"/>
  </si>
  <si>
    <t>守護獣の威厳</t>
    <phoneticPr fontId="4"/>
  </si>
  <si>
    <t>狛犬ちゃん</t>
    <phoneticPr fontId="4"/>
  </si>
  <si>
    <t>こまいぬちゃん</t>
    <phoneticPr fontId="4"/>
  </si>
  <si>
    <t>名物</t>
    <phoneticPr fontId="4"/>
  </si>
  <si>
    <t>2020/12/15 12:00～2021/02/15 11:59</t>
    <phoneticPr fontId="4"/>
  </si>
  <si>
    <t>2018/07防衛戦</t>
    <rPh sb="7" eb="10">
      <t>ボウエイセン</t>
    </rPh>
    <phoneticPr fontId="4"/>
  </si>
  <si>
    <t>2018/07龍神杯</t>
    <phoneticPr fontId="4"/>
  </si>
  <si>
    <t>2018/07サイコロ</t>
    <phoneticPr fontId="4"/>
  </si>
  <si>
    <t>図鑑済</t>
    <phoneticPr fontId="4"/>
  </si>
  <si>
    <t>心霊パラダイス</t>
    <phoneticPr fontId="4"/>
  </si>
  <si>
    <t>ふたまたとんねる</t>
    <phoneticPr fontId="4"/>
  </si>
  <si>
    <t>とらえられぬ妖怪王</t>
    <phoneticPr fontId="4"/>
  </si>
  <si>
    <t>しんせいぬらりひょん</t>
    <phoneticPr fontId="4"/>
  </si>
  <si>
    <t>変態魚</t>
    <phoneticPr fontId="4"/>
  </si>
  <si>
    <t>ほうそうぎょ</t>
    <phoneticPr fontId="4"/>
  </si>
  <si>
    <t>名人級のヘラ使い</t>
    <phoneticPr fontId="4"/>
  </si>
  <si>
    <t>しんせいばばへらあいすちゃん</t>
    <phoneticPr fontId="4"/>
  </si>
  <si>
    <t>飲食</t>
    <phoneticPr fontId="4"/>
  </si>
  <si>
    <t>鳳そう魚</t>
    <phoneticPr fontId="4"/>
  </si>
  <si>
    <t>[新生]ババヘラアイスちゃん</t>
    <phoneticPr fontId="4"/>
  </si>
  <si>
    <t>関東</t>
    <phoneticPr fontId="4"/>
  </si>
  <si>
    <t>妖怪</t>
    <phoneticPr fontId="4"/>
  </si>
  <si>
    <t>[新生]ぬらりひょん</t>
    <phoneticPr fontId="4"/>
  </si>
  <si>
    <t>中国・四国</t>
    <phoneticPr fontId="4"/>
  </si>
  <si>
    <t>二股トンネル</t>
    <phoneticPr fontId="4"/>
  </si>
  <si>
    <t>神秘</t>
    <phoneticPr fontId="4"/>
  </si>
  <si>
    <t>中部</t>
    <phoneticPr fontId="4"/>
  </si>
  <si>
    <t>[新生]姫手毬</t>
    <rPh sb="4" eb="5">
      <t>ヒメ</t>
    </rPh>
    <rPh sb="5" eb="7">
      <t>テマリ</t>
    </rPh>
    <phoneticPr fontId="4"/>
  </si>
  <si>
    <t>しんせいひめてまり</t>
    <phoneticPr fontId="4"/>
  </si>
  <si>
    <t>一生物の伝統品</t>
    <rPh sb="0" eb="2">
      <t>イッショウ</t>
    </rPh>
    <rPh sb="2" eb="3">
      <t>モノ</t>
    </rPh>
    <rPh sb="4" eb="6">
      <t>デントウ</t>
    </rPh>
    <rPh sb="6" eb="7">
      <t>ヒン</t>
    </rPh>
    <phoneticPr fontId="4"/>
  </si>
  <si>
    <t>雄渾な自然への敬意</t>
    <phoneticPr fontId="4"/>
  </si>
  <si>
    <t>しんせいせっしゅう</t>
    <phoneticPr fontId="4"/>
  </si>
  <si>
    <t>22+竜+竜+竜+(17+竜+12+12+(16+竜+竜+12+13),11,11,11,11+10+11),14,16,16,竜</t>
    <rPh sb="3" eb="4">
      <t>リュウ</t>
    </rPh>
    <rPh sb="5" eb="6">
      <t>リュウ</t>
    </rPh>
    <rPh sb="7" eb="8">
      <t>リュウ</t>
    </rPh>
    <rPh sb="64" eb="65">
      <t>リュウ</t>
    </rPh>
    <phoneticPr fontId="4"/>
  </si>
  <si>
    <t>相模に花咲く鎌倉の姫君</t>
    <phoneticPr fontId="4"/>
  </si>
  <si>
    <t>しんせいほうじょうほまれひめ</t>
    <phoneticPr fontId="4"/>
  </si>
  <si>
    <t>[新生]北条誉姫</t>
    <phoneticPr fontId="4"/>
  </si>
  <si>
    <t>東日本→全国</t>
    <rPh sb="0" eb="1">
      <t>ヒガシ</t>
    </rPh>
    <rPh sb="1" eb="3">
      <t>ニホン</t>
    </rPh>
    <phoneticPr fontId="4"/>
  </si>
  <si>
    <t>仁王と呼ばれた乙女の任務</t>
    <phoneticPr fontId="4"/>
  </si>
  <si>
    <t>28+竜+竜+竜+(12+竜+竜+竜+12)</t>
    <rPh sb="3" eb="4">
      <t>リュウ</t>
    </rPh>
    <phoneticPr fontId="4"/>
  </si>
  <si>
    <t>ばれんたいんでーさかもとおとめ</t>
    <phoneticPr fontId="4"/>
  </si>
  <si>
    <t>【バレンタインデー】坂本乙女</t>
    <phoneticPr fontId="4"/>
  </si>
  <si>
    <t>偉人</t>
    <phoneticPr fontId="4"/>
  </si>
  <si>
    <t>【魔法の国】アリス</t>
    <phoneticPr fontId="4"/>
  </si>
  <si>
    <t>ラビットマジック</t>
    <phoneticPr fontId="4"/>
  </si>
  <si>
    <t>まほうのくにありす</t>
    <phoneticPr fontId="4"/>
  </si>
  <si>
    <t>シャドウマスター</t>
    <phoneticPr fontId="4"/>
  </si>
  <si>
    <t>しゃどうますたー</t>
    <phoneticPr fontId="4"/>
  </si>
  <si>
    <t>影狼</t>
    <phoneticPr fontId="4"/>
  </si>
  <si>
    <t>【かんざし】栗きんとんちゃん</t>
    <phoneticPr fontId="4"/>
  </si>
  <si>
    <t>かんざしくりきんとんちゃん</t>
    <phoneticPr fontId="4"/>
  </si>
  <si>
    <t>金色の布団</t>
    <phoneticPr fontId="4"/>
  </si>
  <si>
    <t>25+竜+竜+12+(16+竜+竜+竜+12),11,11,12,11+竜+竜</t>
    <phoneticPr fontId="4"/>
  </si>
  <si>
    <t>26+竜+竜+12+(16+竜+竜+竜+12),11,11,11,11+竜+竜</t>
    <phoneticPr fontId="4"/>
  </si>
  <si>
    <t>壊れぬ歯車</t>
    <phoneticPr fontId="4"/>
  </si>
  <si>
    <t>きかいめがみえんごっと</t>
    <phoneticPr fontId="4"/>
  </si>
  <si>
    <t>機械女神エンゴット</t>
    <phoneticPr fontId="4"/>
  </si>
  <si>
    <t>【冬の訪れ】ファヌッカ</t>
    <phoneticPr fontId="4"/>
  </si>
  <si>
    <t>ふゆのおとずれふぁぬっか</t>
    <phoneticPr fontId="4"/>
  </si>
  <si>
    <t>小さな配達員</t>
    <phoneticPr fontId="4"/>
  </si>
  <si>
    <t>2021/02/15 12:00～2021/04/15 11:59</t>
    <phoneticPr fontId="4"/>
  </si>
  <si>
    <t>歴史の守護瓦</t>
    <phoneticPr fontId="4"/>
  </si>
  <si>
    <t>しんせいきくまかわらちゃん</t>
    <phoneticPr fontId="4"/>
  </si>
  <si>
    <t>[新生]菊間瓦ちゃん</t>
    <phoneticPr fontId="4"/>
  </si>
  <si>
    <t>煌煌たる陽光の女神</t>
    <phoneticPr fontId="4"/>
  </si>
  <si>
    <t>しんせいぺけれちゅぷかむい</t>
    <phoneticPr fontId="4"/>
  </si>
  <si>
    <t>[新生]ペケレチュプカムイ</t>
    <phoneticPr fontId="4"/>
  </si>
  <si>
    <t>潜水軍団の大進撃</t>
    <phoneticPr fontId="4"/>
  </si>
  <si>
    <t>しんせいじんぐうこうごう</t>
    <phoneticPr fontId="4"/>
  </si>
  <si>
    <t>[新生]ジングウコウゴウ</t>
    <phoneticPr fontId="4"/>
  </si>
  <si>
    <t>刀を収め世を治める</t>
    <phoneticPr fontId="4"/>
  </si>
  <si>
    <t>しんせいやぎゅうむねよし</t>
    <phoneticPr fontId="4"/>
  </si>
  <si>
    <t>[新生]柳生宗厳</t>
    <phoneticPr fontId="4"/>
  </si>
  <si>
    <t>2018/08全国巡り</t>
    <rPh sb="7" eb="9">
      <t>ゼンコク</t>
    </rPh>
    <rPh sb="9" eb="10">
      <t>メグ</t>
    </rPh>
    <phoneticPr fontId="4"/>
  </si>
  <si>
    <t>2018/08防衛戦</t>
    <rPh sb="7" eb="10">
      <t>ボウエイセン</t>
    </rPh>
    <phoneticPr fontId="4"/>
  </si>
  <si>
    <t>2018/08四神戦</t>
    <rPh sb="7" eb="8">
      <t>ヨッツ</t>
    </rPh>
    <rPh sb="8" eb="9">
      <t>シン</t>
    </rPh>
    <rPh sb="9" eb="10">
      <t>セン</t>
    </rPh>
    <phoneticPr fontId="4"/>
  </si>
  <si>
    <t>2018/09サイコロ</t>
    <phoneticPr fontId="4"/>
  </si>
  <si>
    <t>2018/09天下統一戦</t>
    <rPh sb="7" eb="9">
      <t>テンカ</t>
    </rPh>
    <rPh sb="9" eb="11">
      <t>トウイツ</t>
    </rPh>
    <rPh sb="11" eb="12">
      <t>セン</t>
    </rPh>
    <phoneticPr fontId="4"/>
  </si>
  <si>
    <t>12+竜+竜 13+竜</t>
    <rPh sb="3" eb="4">
      <t>リュウ</t>
    </rPh>
    <rPh sb="5" eb="6">
      <t>リュウ</t>
    </rPh>
    <rPh sb="10" eb="11">
      <t>リュウ</t>
    </rPh>
    <phoneticPr fontId="4"/>
  </si>
  <si>
    <t>光へ導く傾奇者</t>
    <phoneticPr fontId="4"/>
  </si>
  <si>
    <t>おひなさままえだけいじ</t>
    <phoneticPr fontId="4"/>
  </si>
  <si>
    <t>【お雛様】前田慶次</t>
    <phoneticPr fontId="4"/>
  </si>
  <si>
    <t>12+竜+竜+竜+11</t>
    <rPh sb="3" eb="4">
      <t>リュウ</t>
    </rPh>
    <rPh sb="5" eb="6">
      <t>リュウ</t>
    </rPh>
    <rPh sb="7" eb="8">
      <t>リュウ</t>
    </rPh>
    <phoneticPr fontId="4"/>
  </si>
  <si>
    <t>マタギちゃん</t>
    <phoneticPr fontId="4"/>
  </si>
  <si>
    <t>またぎちゃん</t>
    <phoneticPr fontId="4"/>
  </si>
  <si>
    <t>自然と共に</t>
    <phoneticPr fontId="4"/>
  </si>
  <si>
    <t>23+竜+竜+竜+12,11,11,11,12</t>
    <phoneticPr fontId="4"/>
  </si>
  <si>
    <t>【宰相】コーシカ</t>
    <rPh sb="1" eb="3">
      <t>サイショウ</t>
    </rPh>
    <phoneticPr fontId="4"/>
  </si>
  <si>
    <t>大胆不敵</t>
    <phoneticPr fontId="4"/>
  </si>
  <si>
    <t>さいしょうこーしか</t>
    <phoneticPr fontId="4"/>
  </si>
  <si>
    <t>26+竜+12+12+16,11,11,12,12</t>
    <phoneticPr fontId="4"/>
  </si>
  <si>
    <t>筆頭に名を残せし大奥の花</t>
    <phoneticPr fontId="4"/>
  </si>
  <si>
    <t>[新生]万里小路局</t>
    <phoneticPr fontId="4"/>
  </si>
  <si>
    <t>しんせいまでのこうじのつぼね</t>
    <phoneticPr fontId="4"/>
  </si>
  <si>
    <t>西日本→全国</t>
    <rPh sb="0" eb="1">
      <t>ニシ</t>
    </rPh>
    <rPh sb="1" eb="3">
      <t>ニホン</t>
    </rPh>
    <phoneticPr fontId="4"/>
  </si>
  <si>
    <t>咲き誇れ華と世界よ</t>
    <phoneticPr fontId="4"/>
  </si>
  <si>
    <t>タイプ偉人・妖怪・名物の防35％UP　/　タイプ武人・神秘・飲食・妖怪の攻13％DOWN</t>
  </si>
  <si>
    <t>[新生]百花繚乱</t>
    <phoneticPr fontId="4"/>
  </si>
  <si>
    <t>しんせいひゃっかりょうらん</t>
    <phoneticPr fontId="4"/>
  </si>
  <si>
    <t>[新生]花咲か娘</t>
    <phoneticPr fontId="4"/>
  </si>
  <si>
    <t>東日本→全国</t>
    <rPh sb="0" eb="3">
      <t>ヒガシニホン</t>
    </rPh>
    <phoneticPr fontId="4"/>
  </si>
  <si>
    <t>しんせいはなさかむすめ</t>
    <phoneticPr fontId="4"/>
  </si>
  <si>
    <t>西日本→全国</t>
    <rPh sb="0" eb="3">
      <t>ニシニホン</t>
    </rPh>
    <phoneticPr fontId="4"/>
  </si>
  <si>
    <t>[新生]長宗我部国親</t>
    <phoneticPr fontId="4"/>
  </si>
  <si>
    <t>しんせいちょうそかべくにちか</t>
    <phoneticPr fontId="4"/>
  </si>
  <si>
    <t>南国を駆けし野の虎</t>
    <phoneticPr fontId="4"/>
  </si>
  <si>
    <t>[新生]【Yシャツ】小野小町</t>
    <phoneticPr fontId="4"/>
  </si>
  <si>
    <t>しんせいわいしゃつおののこまち</t>
    <phoneticPr fontId="4"/>
  </si>
  <si>
    <t>タイプ妖怪・名物の防30％UP　/　タイプ【偉人】の防10％UP</t>
  </si>
  <si>
    <t>タイプ名物・武人の攻90％DOWN　/　タイプ偉人・名物の防35％UP</t>
  </si>
  <si>
    <t>タイプ伝承・武人・姫の攻30％UP　/　タイプ神秘・知性派・飲食・武人の防13％DOWN</t>
  </si>
  <si>
    <t>タイプ飲食・武人の防90％DOWN　/　タイプ偉人・名物の攻40％UP</t>
  </si>
  <si>
    <t>タイプ偉人・妖怪・名物の攻35％UP　/　タイプ武人・神秘・飲食・妖怪の防13％DOWN</t>
  </si>
  <si>
    <t>タイプ伝承・武人・姫の防30％UP　/　タイプ武人・妖怪・名物・偉人の攻13％DOWN</t>
  </si>
  <si>
    <t>タイプ神秘・知性派の防45％UP　/　タイプ【飲食】の防30％UP</t>
  </si>
  <si>
    <t>タイプ【飲食】の攻90％UP　/　タイプ神秘・知性派の攻30％UP</t>
  </si>
  <si>
    <t>タイプ【武人】の防90％UP　/　タイプ姫・伝承の防30％UP</t>
  </si>
  <si>
    <t>タイプ偉人・妖怪の防45％UP　/　タイプ【名物】の防30％UP</t>
  </si>
  <si>
    <t>タイプ武人・伝承の攻65％UP　/　タイプ【姫】の攻20％UP</t>
  </si>
  <si>
    <t>タイプ武人・姫の攻55％UP　/　タイプ【伝承】の攻40％UP</t>
  </si>
  <si>
    <t>タイプ姫・伝承の攻45％UP　/　タイプ【武人】の攻30％UP</t>
  </si>
  <si>
    <t>タイプ【飲食】の防90％UP　/　タイプ神秘・知性派の防30％UP</t>
  </si>
  <si>
    <t>タイプ伝承・武人・姫の攻85％DOWN　/　タイプ知性派・飲食の防30％UP</t>
  </si>
  <si>
    <t>タイプ神秘・知性派の防35％UP　/　タイプ【飲食】の防15％UP</t>
  </si>
  <si>
    <t>タイプ妖怪・名物の防30％UP　/　タイプ【偉人】の防15％UP</t>
  </si>
  <si>
    <t>タイプ偉人・名物の攻30％UP　/　タイプ【妖怪】の攻15％UP</t>
  </si>
  <si>
    <t>タイプ神秘・知性派・飲食の防45％UP　/　タイプ偉人・妖怪・名物の攻10％DOWN</t>
  </si>
  <si>
    <t>タイプ偉人・妖怪の防50％UP　/　タイプ【名物】の防20％UP</t>
  </si>
  <si>
    <t>2021/04/15 12:00～2021/06/15 11:59</t>
    <phoneticPr fontId="4"/>
  </si>
  <si>
    <t>2021/06/15 12:00～2021/08/15 11:59</t>
    <phoneticPr fontId="4"/>
  </si>
  <si>
    <t>柔らかな春霞の天使</t>
    <phoneticPr fontId="4"/>
  </si>
  <si>
    <t>しんせいえんじぇるさほひめ</t>
    <phoneticPr fontId="4"/>
  </si>
  <si>
    <t>[新生]【エンジェル】佐保姫</t>
    <phoneticPr fontId="4"/>
  </si>
  <si>
    <t>天童天草のカリスマ</t>
    <phoneticPr fontId="4"/>
  </si>
  <si>
    <t>しんせいせんれいあまくさしろう</t>
    <phoneticPr fontId="4"/>
  </si>
  <si>
    <t>[新生]【洗礼】天草四郎</t>
    <phoneticPr fontId="4"/>
  </si>
  <si>
    <t>オレンジ色のハロウィンスイーツ</t>
    <phoneticPr fontId="4"/>
  </si>
  <si>
    <t>しんせいかぼちゃもんぶらんちゃん</t>
    <phoneticPr fontId="4"/>
  </si>
  <si>
    <t>[新生]かぼちゃモンブランちゃん</t>
    <phoneticPr fontId="4"/>
  </si>
  <si>
    <t>自然と暮らしの共存</t>
    <phoneticPr fontId="4"/>
  </si>
  <si>
    <t>しんせいしらかわごうちゃん</t>
    <phoneticPr fontId="4"/>
  </si>
  <si>
    <t>[新生]白川郷ちゃん</t>
    <phoneticPr fontId="4"/>
  </si>
  <si>
    <t>イタリアに眠る愛</t>
    <phoneticPr fontId="4"/>
  </si>
  <si>
    <t>しんせいらぐーざたま</t>
    <phoneticPr fontId="4"/>
  </si>
  <si>
    <t>[新生]ラグーザ玉</t>
    <phoneticPr fontId="4"/>
  </si>
  <si>
    <t>菱湖流千字文</t>
    <phoneticPr fontId="4"/>
  </si>
  <si>
    <t>しんせいまきりょうこ</t>
    <phoneticPr fontId="4"/>
  </si>
  <si>
    <t>[新生]巻菱湖</t>
    <phoneticPr fontId="4"/>
  </si>
  <si>
    <t>三日月と狼牙</t>
    <phoneticPr fontId="4"/>
  </si>
  <si>
    <t>しんせいろうがだてまさむね</t>
    <phoneticPr fontId="4"/>
  </si>
  <si>
    <t>[新生]【狼牙】伊達政宗</t>
    <phoneticPr fontId="4"/>
  </si>
  <si>
    <t>桜に酔う豪胆女猟師</t>
    <phoneticPr fontId="4"/>
  </si>
  <si>
    <t>しんせいおはなみいわいのおかねさん</t>
    <phoneticPr fontId="4"/>
  </si>
  <si>
    <t>[新生]【お花見】岩井のおかねさん</t>
    <phoneticPr fontId="4"/>
  </si>
  <si>
    <t>2019/03四神戦</t>
    <phoneticPr fontId="4"/>
  </si>
  <si>
    <t>2018/12四神戦</t>
    <phoneticPr fontId="4"/>
  </si>
  <si>
    <t>2018/11四神戦</t>
    <phoneticPr fontId="4"/>
  </si>
  <si>
    <t>2019/01四神戦</t>
    <phoneticPr fontId="4"/>
  </si>
  <si>
    <t>2018/10四神戦</t>
    <phoneticPr fontId="4"/>
  </si>
  <si>
    <t>2019/02四神戦</t>
    <phoneticPr fontId="4"/>
  </si>
  <si>
    <t>2018/09四神戦</t>
    <phoneticPr fontId="4"/>
  </si>
  <si>
    <t>2019/04四神戦</t>
    <phoneticPr fontId="4"/>
  </si>
  <si>
    <t>【海の救助隊】遺念火</t>
    <phoneticPr fontId="4"/>
  </si>
  <si>
    <t>うみのきゅうじょたいいねんび</t>
    <phoneticPr fontId="4"/>
  </si>
  <si>
    <t>海の人命と恋愛を守る怪火</t>
    <phoneticPr fontId="4"/>
  </si>
  <si>
    <t>11+竜+竜+竜+11</t>
    <rPh sb="3" eb="4">
      <t>リュウ</t>
    </rPh>
    <phoneticPr fontId="4"/>
  </si>
  <si>
    <t>神に仕える伝説の大蛇</t>
    <phoneticPr fontId="4"/>
  </si>
  <si>
    <t>【プリースト】八ノ太郎</t>
    <phoneticPr fontId="4"/>
  </si>
  <si>
    <t>ぷりーすとはちのたろう</t>
    <phoneticPr fontId="4"/>
  </si>
  <si>
    <t>12+竜+竜+竜+12</t>
    <phoneticPr fontId="4"/>
  </si>
  <si>
    <t>着ぐるみを着た才女</t>
    <phoneticPr fontId="4"/>
  </si>
  <si>
    <t>【遊園地スタッフ】赤染衛門</t>
    <phoneticPr fontId="4"/>
  </si>
  <si>
    <t>ゆうえんちすたっふあかぞめえもん</t>
    <phoneticPr fontId="4"/>
  </si>
  <si>
    <t>桜と甘いモチモチ食感</t>
    <phoneticPr fontId="4"/>
  </si>
  <si>
    <t>【観桜会】みたらし団子ちゃん</t>
    <phoneticPr fontId="4"/>
  </si>
  <si>
    <t>かんおうかいみたらしだんごちゃん</t>
    <phoneticPr fontId="4"/>
  </si>
  <si>
    <t>【祭守】美登利</t>
    <rPh sb="1" eb="2">
      <t>マツ</t>
    </rPh>
    <rPh sb="2" eb="3">
      <t>マモ</t>
    </rPh>
    <rPh sb="4" eb="5">
      <t>ビ</t>
    </rPh>
    <rPh sb="5" eb="6">
      <t>ノボル</t>
    </rPh>
    <rPh sb="6" eb="7">
      <t>リ</t>
    </rPh>
    <phoneticPr fontId="4"/>
  </si>
  <si>
    <t>ライフル構え運命背負う水仙花</t>
    <rPh sb="4" eb="5">
      <t>カマ</t>
    </rPh>
    <rPh sb="6" eb="8">
      <t>ウンメイ</t>
    </rPh>
    <rPh sb="8" eb="10">
      <t>セオ</t>
    </rPh>
    <rPh sb="11" eb="13">
      <t>スイセン</t>
    </rPh>
    <rPh sb="13" eb="14">
      <t>ハナ</t>
    </rPh>
    <phoneticPr fontId="4"/>
  </si>
  <si>
    <t>タイプ偉人・妖怪・名物の攻40％UP　/　タイプ武人・飲食・妖怪の防10％DOWN</t>
    <rPh sb="24" eb="26">
      <t>ブジン</t>
    </rPh>
    <rPh sb="27" eb="29">
      <t>インショク</t>
    </rPh>
    <rPh sb="30" eb="32">
      <t>ヨウカイ</t>
    </rPh>
    <phoneticPr fontId="4"/>
  </si>
  <si>
    <t>さいしゅみどり</t>
    <phoneticPr fontId="4"/>
  </si>
  <si>
    <t>図鑑済 処10*1</t>
    <phoneticPr fontId="4"/>
  </si>
  <si>
    <t>図鑑済 処10*1</t>
    <rPh sb="4" eb="5">
      <t>ショ</t>
    </rPh>
    <phoneticPr fontId="4"/>
  </si>
  <si>
    <t>魅惑のナース</t>
    <phoneticPr fontId="4"/>
  </si>
  <si>
    <t>【黒衣の天使】ジュティス</t>
    <phoneticPr fontId="4"/>
  </si>
  <si>
    <t>こくいのてんしじゅてぃす</t>
    <phoneticPr fontId="4"/>
  </si>
  <si>
    <t>神の金をあなたにあげる</t>
    <phoneticPr fontId="4"/>
  </si>
  <si>
    <t>[新生]金の神の火</t>
    <phoneticPr fontId="4"/>
  </si>
  <si>
    <t>しんせいきんのかみのひ</t>
    <phoneticPr fontId="4"/>
  </si>
  <si>
    <t>2021/08/17 20:00～2021/10/15 11:59</t>
    <phoneticPr fontId="4"/>
  </si>
  <si>
    <t>祭りの主役は目を奪う</t>
    <phoneticPr fontId="4"/>
  </si>
  <si>
    <t>しんせいおとこまつりいしかわごえもん</t>
    <phoneticPr fontId="4"/>
  </si>
  <si>
    <t>[新生]【男祭り】石川五右衛門</t>
    <phoneticPr fontId="4"/>
  </si>
  <si>
    <t>悲しみに染まる五色の宝石</t>
    <phoneticPr fontId="4"/>
  </si>
  <si>
    <t>しんせいごしきひめ</t>
    <phoneticPr fontId="4"/>
  </si>
  <si>
    <t>[新生]五色姫</t>
    <phoneticPr fontId="4"/>
  </si>
  <si>
    <t>流行と文化の発信源</t>
    <phoneticPr fontId="4"/>
  </si>
  <si>
    <t>しんせいはらじゅくたけしたどおりちゃん</t>
    <phoneticPr fontId="4"/>
  </si>
  <si>
    <t>[新生]原宿竹下通りちゃん</t>
    <phoneticPr fontId="4"/>
  </si>
  <si>
    <t>青き美貌の軍師</t>
    <phoneticPr fontId="4"/>
  </si>
  <si>
    <t>しんせいしれいかんさふぁいあ</t>
    <phoneticPr fontId="4"/>
  </si>
  <si>
    <t>[新生]【司令官】サファイア</t>
    <phoneticPr fontId="4"/>
  </si>
  <si>
    <t>2019/05四神戦</t>
    <phoneticPr fontId="4"/>
  </si>
  <si>
    <t>2019/06四神戦</t>
    <phoneticPr fontId="4"/>
  </si>
  <si>
    <t>2019/07四神戦</t>
    <phoneticPr fontId="4"/>
  </si>
  <si>
    <t>2019/08四神戦</t>
    <phoneticPr fontId="4"/>
  </si>
  <si>
    <t>[新生]マダム・バタフライ</t>
    <phoneticPr fontId="4"/>
  </si>
  <si>
    <t>蝶々凝聚</t>
    <phoneticPr fontId="4"/>
  </si>
  <si>
    <t>29+竜+竜+竜+26,11,11,25,29</t>
    <phoneticPr fontId="4"/>
  </si>
  <si>
    <t>毘沙門天ちゃん</t>
    <phoneticPr fontId="4"/>
  </si>
  <si>
    <t>びしゃもんてんちゃん</t>
    <phoneticPr fontId="4"/>
  </si>
  <si>
    <t>23+竜+12+12+16,11,11,11,11</t>
    <phoneticPr fontId="4"/>
  </si>
  <si>
    <t>麗しき三叉戟</t>
    <phoneticPr fontId="4"/>
  </si>
  <si>
    <t>2021/10/15 20:00～2021/12/15 11:59</t>
    <phoneticPr fontId="4"/>
  </si>
  <si>
    <t>謎めくアイドル</t>
    <phoneticPr fontId="4"/>
  </si>
  <si>
    <t>しんせいあいどるおののおつう</t>
    <phoneticPr fontId="4"/>
  </si>
  <si>
    <t>[新生]【アイドル】小野お通</t>
    <phoneticPr fontId="4"/>
  </si>
  <si>
    <t>稲妻のごとき昇進</t>
    <phoneticPr fontId="4"/>
  </si>
  <si>
    <t>しんせいいなづまらいごろう</t>
    <phoneticPr fontId="4"/>
  </si>
  <si>
    <t>[新生]稲妻雷五郎</t>
    <phoneticPr fontId="4"/>
  </si>
  <si>
    <t>天下三名槍が一つ</t>
    <phoneticPr fontId="4"/>
  </si>
  <si>
    <t>しんせいうえすたんほんだただかつ</t>
    <phoneticPr fontId="4"/>
  </si>
  <si>
    <t>[新生]【ウエスタン】本多忠勝</t>
    <phoneticPr fontId="4"/>
  </si>
  <si>
    <t>オフィスを彩った才女</t>
    <phoneticPr fontId="4"/>
  </si>
  <si>
    <t>しんせいおふぃすれでぃあかぞめえもん</t>
    <phoneticPr fontId="4"/>
  </si>
  <si>
    <t>[新生]【OL】赤染衛門</t>
    <phoneticPr fontId="4"/>
  </si>
  <si>
    <t>2019/01天下統一戦</t>
    <rPh sb="7" eb="9">
      <t>テンカ</t>
    </rPh>
    <rPh sb="9" eb="11">
      <t>トウイツ</t>
    </rPh>
    <rPh sb="11" eb="12">
      <t>セン</t>
    </rPh>
    <phoneticPr fontId="4"/>
  </si>
  <si>
    <t>2019/02全国巡り有料ガチャ</t>
    <rPh sb="7" eb="9">
      <t>ゼンコク</t>
    </rPh>
    <rPh sb="9" eb="10">
      <t>メグ</t>
    </rPh>
    <rPh sb="11" eb="13">
      <t>ユウリョウ</t>
    </rPh>
    <phoneticPr fontId="4"/>
  </si>
  <si>
    <t>2019/03天下統一戦有料ガチャ</t>
    <rPh sb="7" eb="9">
      <t>テンカ</t>
    </rPh>
    <rPh sb="9" eb="11">
      <t>トウイツ</t>
    </rPh>
    <rPh sb="11" eb="12">
      <t>セン</t>
    </rPh>
    <phoneticPr fontId="4"/>
  </si>
  <si>
    <t>2019/04全国巡り有料ガチャ</t>
    <rPh sb="7" eb="9">
      <t>ゼンコク</t>
    </rPh>
    <rPh sb="9" eb="10">
      <t>メグ</t>
    </rPh>
    <rPh sb="11" eb="13">
      <t>ユウリョウ</t>
    </rPh>
    <phoneticPr fontId="4"/>
  </si>
  <si>
    <t>[新生]サーロインステーキちゃん</t>
    <phoneticPr fontId="4"/>
  </si>
  <si>
    <t>しんせいさーろいんすてーきちゃん</t>
    <phoneticPr fontId="4"/>
  </si>
  <si>
    <t>しんせいまだむばたふらい</t>
    <phoneticPr fontId="4"/>
  </si>
  <si>
    <t>動揺滅す天魔の囁き</t>
    <phoneticPr fontId="4"/>
  </si>
  <si>
    <t>【ハロウィン列車】天魔</t>
    <phoneticPr fontId="4"/>
  </si>
  <si>
    <t>はろうぃんれっしゃてんま</t>
    <phoneticPr fontId="4"/>
  </si>
  <si>
    <t>28+竜+竜+竜+26,12,12</t>
    <phoneticPr fontId="4"/>
  </si>
  <si>
    <t>悪を裁く黒衣の姫</t>
    <phoneticPr fontId="4"/>
  </si>
  <si>
    <t>【祝宴】黒比売</t>
    <phoneticPr fontId="4"/>
  </si>
  <si>
    <t>しゅくえんくろひめ</t>
    <phoneticPr fontId="4"/>
  </si>
  <si>
    <t>幻獣の管理者</t>
    <phoneticPr fontId="4"/>
  </si>
  <si>
    <t>【花冠】ソメイユ</t>
    <phoneticPr fontId="4"/>
  </si>
  <si>
    <t>はなかんむりそめいゆ</t>
    <phoneticPr fontId="4"/>
  </si>
  <si>
    <t>26+竜+竜+竜+12,11,11,11,12</t>
    <phoneticPr fontId="4"/>
  </si>
  <si>
    <t>眠りの夜露</t>
    <phoneticPr fontId="4"/>
  </si>
  <si>
    <t>ひゅぷのす</t>
    <phoneticPr fontId="4"/>
  </si>
  <si>
    <t>ヒュプノス</t>
    <phoneticPr fontId="4"/>
  </si>
  <si>
    <t>26+竜+竜+竜+(18+竜+竜+竜+12),11,11,11 26+竜+竜+竜+(12+竜+竜+竜+12)</t>
    <phoneticPr fontId="4"/>
  </si>
  <si>
    <t>トラップボマー</t>
    <phoneticPr fontId="4"/>
  </si>
  <si>
    <t>炸裂トラップ</t>
    <phoneticPr fontId="4"/>
  </si>
  <si>
    <t>とらっぷぼまー</t>
    <phoneticPr fontId="4"/>
  </si>
  <si>
    <t>プレイアオーラ</t>
    <phoneticPr fontId="4"/>
  </si>
  <si>
    <t>えぷらしゅね</t>
    <phoneticPr fontId="4"/>
  </si>
  <si>
    <t>エプラシュネ</t>
    <phoneticPr fontId="4"/>
  </si>
  <si>
    <t>夢幻の占い師</t>
    <phoneticPr fontId="4"/>
  </si>
  <si>
    <t>せんじゅつおねいろす</t>
    <phoneticPr fontId="4"/>
  </si>
  <si>
    <t>【占術】オネイロス</t>
    <phoneticPr fontId="4"/>
  </si>
  <si>
    <t>クーサンクー</t>
    <phoneticPr fontId="4"/>
  </si>
  <si>
    <t>さいつかいのさき</t>
    <phoneticPr fontId="4"/>
  </si>
  <si>
    <t>サイ使いの沙姫</t>
    <phoneticPr fontId="4"/>
  </si>
  <si>
    <t>光の監視者</t>
    <phoneticPr fontId="4"/>
  </si>
  <si>
    <t>かんえんりんぐ</t>
    <phoneticPr fontId="4"/>
  </si>
  <si>
    <t>【監宴】リング</t>
    <phoneticPr fontId="4"/>
  </si>
  <si>
    <t>インフェルノ・フレア</t>
    <phoneticPr fontId="4"/>
  </si>
  <si>
    <t>べるぜぶぶ</t>
    <phoneticPr fontId="4"/>
  </si>
  <si>
    <t>ベルゼブブ</t>
    <phoneticPr fontId="4"/>
  </si>
  <si>
    <t>スイーツガイド</t>
    <phoneticPr fontId="4"/>
  </si>
  <si>
    <t>ふぁんふぇあ・でり</t>
    <phoneticPr fontId="4"/>
  </si>
  <si>
    <t>ファンフェア・デリ</t>
    <phoneticPr fontId="4"/>
  </si>
  <si>
    <t>【支配人】オリビア</t>
    <phoneticPr fontId="4"/>
  </si>
  <si>
    <t>しはいにんおりびあ</t>
    <phoneticPr fontId="4"/>
  </si>
  <si>
    <t>ディープタイダル</t>
    <phoneticPr fontId="4"/>
  </si>
  <si>
    <t>しんかいのれびあたん</t>
    <phoneticPr fontId="4"/>
  </si>
  <si>
    <t>深海のレヴィアタン</t>
    <phoneticPr fontId="4"/>
  </si>
  <si>
    <t>豊穣の少女</t>
    <phoneticPr fontId="4"/>
  </si>
  <si>
    <t>【豊穣】フアフア</t>
    <phoneticPr fontId="4"/>
  </si>
  <si>
    <t>ほうじょうふあふあ</t>
    <phoneticPr fontId="4"/>
  </si>
  <si>
    <t>マフィアの女流茶人</t>
    <phoneticPr fontId="4"/>
  </si>
  <si>
    <t>【マフィア】堀越宗圓</t>
    <phoneticPr fontId="4"/>
  </si>
  <si>
    <t>まふぃあほりこしそうえん</t>
    <phoneticPr fontId="4"/>
  </si>
  <si>
    <t>27+竜+竜+12+(26+竜+竜+12+16),11,11,11,12</t>
    <phoneticPr fontId="4"/>
  </si>
  <si>
    <t>27+竜+竜+竜+23,11,11,11,11</t>
    <phoneticPr fontId="4"/>
  </si>
  <si>
    <t>26+竜+竜+竜+12,11,11,12,11</t>
    <phoneticPr fontId="4"/>
  </si>
  <si>
    <t>26+竜+竜+竜+(16+竜+竜+竜+12),11,11,11,11+11</t>
    <phoneticPr fontId="4"/>
  </si>
  <si>
    <t>26+竜+竜+竜+(16+竜+竜+竜+12),11,11,12,12+竜+12</t>
    <phoneticPr fontId="4"/>
  </si>
  <si>
    <t>28+竜+竜+竜+26,12,11</t>
    <phoneticPr fontId="4"/>
  </si>
  <si>
    <t>倉1</t>
    <rPh sb="0" eb="1">
      <t>クラ</t>
    </rPh>
    <phoneticPr fontId="4"/>
  </si>
  <si>
    <t>タイプ神秘・飲食の攻25％UP</t>
    <phoneticPr fontId="4"/>
  </si>
  <si>
    <t>教育に賭けた会津愛</t>
    <phoneticPr fontId="4"/>
  </si>
  <si>
    <t>タイプ偉人・妖怪・伝承の防30％UP</t>
    <phoneticPr fontId="4"/>
  </si>
  <si>
    <t>法にも通じる武士将棋</t>
    <phoneticPr fontId="4"/>
  </si>
  <si>
    <t>寵愛を取り巻く執念</t>
    <phoneticPr fontId="4"/>
  </si>
  <si>
    <t>タイプ武人・伝承の攻25％UP</t>
    <phoneticPr fontId="4"/>
  </si>
  <si>
    <t>タイプ飲食・知性派・妖怪の防30％UP</t>
    <phoneticPr fontId="4"/>
  </si>
  <si>
    <t>相模国最古級のお有鹿様</t>
    <phoneticPr fontId="4"/>
  </si>
  <si>
    <t>タイプ偉人・名物の攻25％UP</t>
    <phoneticPr fontId="4"/>
  </si>
  <si>
    <t>剛力女霊の遠投力</t>
    <phoneticPr fontId="4"/>
  </si>
  <si>
    <t>タイプ神秘・知性派・姫の防30％UP</t>
    <phoneticPr fontId="4"/>
  </si>
  <si>
    <t>厄除観音のご利益</t>
    <phoneticPr fontId="4"/>
  </si>
  <si>
    <t>タイプ神秘・知性派の攻25％UP</t>
    <phoneticPr fontId="4"/>
  </si>
  <si>
    <t>タルタル添えの外来種</t>
    <phoneticPr fontId="4"/>
  </si>
  <si>
    <t>タイプ神秘・飲食・名物の防30％UP</t>
    <phoneticPr fontId="4"/>
  </si>
  <si>
    <t>万巻を読み万里を往く</t>
    <phoneticPr fontId="4"/>
  </si>
  <si>
    <t>タイプ姫・伝承の攻25％UP</t>
    <phoneticPr fontId="4"/>
  </si>
  <si>
    <t>鳥取領民のお殿様</t>
    <phoneticPr fontId="4"/>
  </si>
  <si>
    <t>タイプ名物・偉人・神秘の防30％UP</t>
    <phoneticPr fontId="4"/>
  </si>
  <si>
    <t>四国代表横綱天狗</t>
    <phoneticPr fontId="4"/>
  </si>
  <si>
    <t>水難を司る象徴</t>
    <phoneticPr fontId="4"/>
  </si>
  <si>
    <t>タイプ伝承・武人・偉人の防30％UP</t>
    <phoneticPr fontId="4"/>
  </si>
  <si>
    <t>九州制圧の母</t>
    <phoneticPr fontId="4"/>
  </si>
  <si>
    <t>タイプ伝承・武人・姫の防20％DOWN</t>
    <phoneticPr fontId="4"/>
  </si>
  <si>
    <t>彩り放つ生ちらし</t>
    <phoneticPr fontId="4"/>
  </si>
  <si>
    <t>タイプ偉人・妖怪・名物の防20％DOWN</t>
    <phoneticPr fontId="4"/>
  </si>
  <si>
    <t>天下御免の大返し</t>
    <phoneticPr fontId="4"/>
  </si>
  <si>
    <t>タイプ神秘・知性派・飲食の防20％DOWN</t>
    <phoneticPr fontId="4"/>
  </si>
  <si>
    <t>乱れる愛のアラベスク</t>
    <phoneticPr fontId="4"/>
  </si>
  <si>
    <t>限突</t>
    <rPh sb="0" eb="1">
      <t>カギ</t>
    </rPh>
    <rPh sb="1" eb="2">
      <t>トツ</t>
    </rPh>
    <phoneticPr fontId="4"/>
  </si>
  <si>
    <t>310?,255?</t>
    <phoneticPr fontId="4"/>
  </si>
  <si>
    <t>[新生]【着物の日】カグヤ</t>
    <phoneticPr fontId="4"/>
  </si>
  <si>
    <t>しんせいきもののひかぐや</t>
    <phoneticPr fontId="4"/>
  </si>
  <si>
    <t>図鑑済 処10*3,12*1</t>
    <phoneticPr fontId="4"/>
  </si>
  <si>
    <t>図鑑済 処10*1,12*1</t>
    <phoneticPr fontId="4"/>
  </si>
  <si>
    <t>圧倒的美</t>
    <phoneticPr fontId="4"/>
  </si>
  <si>
    <t>【魔鏡】ワイズミラー</t>
    <phoneticPr fontId="4"/>
  </si>
  <si>
    <t>まきょうわいずみらー</t>
    <phoneticPr fontId="4"/>
  </si>
  <si>
    <t>鬼神の秘湯</t>
    <phoneticPr fontId="4"/>
  </si>
  <si>
    <t>【仙湯】鬼巫女</t>
    <phoneticPr fontId="4"/>
  </si>
  <si>
    <t>せんとうおにひめ</t>
    <phoneticPr fontId="4"/>
  </si>
  <si>
    <t>27+竜+竜+12+26,11,11,12,122</t>
    <phoneticPr fontId="4"/>
  </si>
  <si>
    <t>[新生]虹色の魔術師テンチャ</t>
    <phoneticPr fontId="4"/>
  </si>
  <si>
    <t>雨上がりの虹</t>
    <phoneticPr fontId="4"/>
  </si>
  <si>
    <t>しんせいにじいろのまじゅつしてんちゃ</t>
    <phoneticPr fontId="4"/>
  </si>
  <si>
    <t>18+竜+竜+14+(14+竜+9+10+(10+9)),16,14,17,18 処18</t>
    <rPh sb="41" eb="42">
      <t>ショ</t>
    </rPh>
    <phoneticPr fontId="4"/>
  </si>
  <si>
    <t>18+竜+竜+竜+(14+9+9+9+9),9,9,14,15 処15+14+14+14</t>
    <rPh sb="3" eb="4">
      <t>リュウ</t>
    </rPh>
    <rPh sb="5" eb="6">
      <t>リュウ</t>
    </rPh>
    <rPh sb="7" eb="8">
      <t>リュウ</t>
    </rPh>
    <rPh sb="32" eb="33">
      <t>ショ</t>
    </rPh>
    <phoneticPr fontId="1"/>
  </si>
  <si>
    <t>17+?+?+?+(?+?+?+?+?),?,?,?,?</t>
    <phoneticPr fontId="4"/>
  </si>
  <si>
    <t>18+14+14+15+(16+竜+竜+11+(15+?+?+?+?,?,?)),竜,竜,竜,竜 処15</t>
    <rPh sb="41" eb="42">
      <t>リュウ</t>
    </rPh>
    <rPh sb="43" eb="44">
      <t>リュウ</t>
    </rPh>
    <rPh sb="45" eb="46">
      <t>リュウ</t>
    </rPh>
    <rPh sb="47" eb="48">
      <t>リュウ</t>
    </rPh>
    <rPh sb="49" eb="50">
      <t>ショ</t>
    </rPh>
    <phoneticPr fontId="1"/>
  </si>
  <si>
    <t>水際の用心棒</t>
    <phoneticPr fontId="4"/>
  </si>
  <si>
    <t>びきにくりすますまてひめ</t>
    <phoneticPr fontId="4"/>
  </si>
  <si>
    <t>【ビキニXmas】満天姫</t>
    <phoneticPr fontId="4"/>
  </si>
  <si>
    <t>26+竜+竜+竜+12,11</t>
    <phoneticPr fontId="4"/>
  </si>
  <si>
    <t>霜の巨人と少女</t>
    <phoneticPr fontId="4"/>
  </si>
  <si>
    <t>しものきょじんとしょうじょ</t>
    <phoneticPr fontId="4"/>
  </si>
  <si>
    <t>巨人の咆哮</t>
    <phoneticPr fontId="4"/>
  </si>
  <si>
    <t>トナカイ乗りのヤルナ</t>
    <phoneticPr fontId="4"/>
  </si>
  <si>
    <t>となかいのりのやるな</t>
    <phoneticPr fontId="4"/>
  </si>
  <si>
    <t>27+竜+竜+12+(18+竜+竜+竜+12),11,11,11,12</t>
    <phoneticPr fontId="4"/>
  </si>
  <si>
    <t>最高の相棒</t>
    <phoneticPr fontId="4"/>
  </si>
  <si>
    <t>[新生]天之冬衣神</t>
    <phoneticPr fontId="4"/>
  </si>
  <si>
    <t>2022年</t>
    <rPh sb="4" eb="5">
      <t>ネン</t>
    </rPh>
    <phoneticPr fontId="4"/>
  </si>
  <si>
    <t>しんせいあめのふゆきぬのかみ</t>
    <phoneticPr fontId="4"/>
  </si>
  <si>
    <t>真摯な厄払い</t>
    <phoneticPr fontId="4"/>
  </si>
  <si>
    <t>しんしゅんばんぷくきんちょうたぬき</t>
    <phoneticPr fontId="4"/>
  </si>
  <si>
    <t>【新春万福】金長狸</t>
    <phoneticPr fontId="4"/>
  </si>
  <si>
    <t>27+竜+竜+竜+絶大,11,12</t>
    <phoneticPr fontId="4"/>
  </si>
  <si>
    <t>【中継】幸先詣</t>
    <phoneticPr fontId="4"/>
  </si>
  <si>
    <t>ちゅうけいさいさきもうで</t>
    <phoneticPr fontId="4"/>
  </si>
  <si>
    <t>良き幸先を</t>
    <phoneticPr fontId="4"/>
  </si>
  <si>
    <t>28+竜+竜+竜+12,11,11,11,11</t>
    <phoneticPr fontId="4"/>
  </si>
  <si>
    <t>波利采女</t>
    <phoneticPr fontId="4"/>
  </si>
  <si>
    <t>はりさいじょ</t>
    <phoneticPr fontId="4"/>
  </si>
  <si>
    <t>美貌の歳徳神</t>
    <phoneticPr fontId="4"/>
  </si>
  <si>
    <t>[新生]カツオのたたき</t>
    <phoneticPr fontId="4"/>
  </si>
  <si>
    <t>しんせいかつおのたたき</t>
    <phoneticPr fontId="4"/>
  </si>
  <si>
    <t>2021/12/15 20:00～2022/02/15 11:59</t>
    <phoneticPr fontId="4"/>
  </si>
  <si>
    <t>2022/02/15 20:00～2022/04/15 11:59</t>
    <phoneticPr fontId="4"/>
  </si>
  <si>
    <t>ほろ苦リンゴは毒蜜の味</t>
    <phoneticPr fontId="4"/>
  </si>
  <si>
    <t>しんせいしらゆきひめちょこれーとけーき</t>
    <phoneticPr fontId="4"/>
  </si>
  <si>
    <t>[新生]【白雪姫】チョコレートケーキ</t>
    <phoneticPr fontId="4"/>
  </si>
  <si>
    <t>しんせいばすばーがー</t>
    <phoneticPr fontId="4"/>
  </si>
  <si>
    <t>[新生]バスバーガー</t>
    <phoneticPr fontId="4"/>
  </si>
  <si>
    <t>奪われた雷神の角</t>
    <phoneticPr fontId="4"/>
  </si>
  <si>
    <t>[新生]十勝の雷神</t>
    <phoneticPr fontId="4"/>
  </si>
  <si>
    <t>しんせいとかちのらいじん</t>
    <phoneticPr fontId="4"/>
  </si>
  <si>
    <t>人生を示す祝い膳</t>
    <phoneticPr fontId="4"/>
  </si>
  <si>
    <t>しんせいたいのおかしらちゃん</t>
    <phoneticPr fontId="4"/>
  </si>
  <si>
    <t>[新生]鯛のお頭ちゃん</t>
    <phoneticPr fontId="4"/>
  </si>
  <si>
    <t>普遍なる母の愛</t>
    <phoneticPr fontId="4"/>
  </si>
  <si>
    <t>しんせいおだいのかた</t>
    <phoneticPr fontId="4"/>
  </si>
  <si>
    <t>[新生]於大の方</t>
    <phoneticPr fontId="4"/>
  </si>
  <si>
    <t>闇夜に浮かぶ幽玄の椿</t>
    <phoneticPr fontId="4"/>
  </si>
  <si>
    <t>しんせいようびふるつばきのれい</t>
    <phoneticPr fontId="4"/>
  </si>
  <si>
    <t>[新生]【妖美】古椿の霊</t>
    <phoneticPr fontId="4"/>
  </si>
  <si>
    <t>しっとりとした色香の南瓜</t>
    <phoneticPr fontId="4"/>
  </si>
  <si>
    <t>しんせいはろうぃんあまみのきつね</t>
    <phoneticPr fontId="4"/>
  </si>
  <si>
    <t>[新生]【ハロウィン】天美の狐</t>
    <phoneticPr fontId="4"/>
  </si>
  <si>
    <t>2019/05天下統一戦</t>
    <rPh sb="7" eb="12">
      <t>テンカトウイツセン</t>
    </rPh>
    <phoneticPr fontId="4"/>
  </si>
  <si>
    <t>2019/03天下統一戦</t>
    <rPh sb="7" eb="12">
      <t>テンカトウイツセン</t>
    </rPh>
    <phoneticPr fontId="4"/>
  </si>
  <si>
    <t>2019/07天下統一戦</t>
    <rPh sb="7" eb="12">
      <t>テンカトウイツセン</t>
    </rPh>
    <phoneticPr fontId="4"/>
  </si>
  <si>
    <t>2019/08全国巡り</t>
    <rPh sb="7" eb="9">
      <t>ゼンコク</t>
    </rPh>
    <rPh sb="9" eb="10">
      <t>メグ</t>
    </rPh>
    <phoneticPr fontId="4"/>
  </si>
  <si>
    <t>2019/02防衛戦</t>
    <rPh sb="7" eb="10">
      <t>ボウエイセン</t>
    </rPh>
    <phoneticPr fontId="4"/>
  </si>
  <si>
    <t>2018/10サイコロ</t>
    <phoneticPr fontId="4"/>
  </si>
  <si>
    <t>2019/10同盟戦</t>
    <rPh sb="7" eb="10">
      <t>ドウメイセン</t>
    </rPh>
    <phoneticPr fontId="4"/>
  </si>
  <si>
    <t>図鑑済 処10*4,11*1</t>
    <phoneticPr fontId="4"/>
  </si>
  <si>
    <t>図鑑済 処10*3,11*1</t>
    <phoneticPr fontId="4"/>
  </si>
  <si>
    <t>図鑑済 処10*3,11*2</t>
    <phoneticPr fontId="4"/>
  </si>
  <si>
    <t>図鑑済 処10*3,11*1,13*1</t>
    <phoneticPr fontId="4"/>
  </si>
  <si>
    <t>15+竜+10+11+12,11,11,11,11 処11</t>
    <rPh sb="3" eb="4">
      <t>リュウ</t>
    </rPh>
    <rPh sb="26" eb="27">
      <t>ショ</t>
    </rPh>
    <phoneticPr fontId="4"/>
  </si>
  <si>
    <t>27+竜+竜+12+26,12,12,12,11 処21</t>
    <rPh sb="25" eb="26">
      <t>ショ</t>
    </rPh>
    <phoneticPr fontId="4"/>
  </si>
  <si>
    <t>28+竜+竜+竜+12,11,11,11,12 処22</t>
    <rPh sb="24" eb="25">
      <t>ショ</t>
    </rPh>
    <phoneticPr fontId="4"/>
  </si>
  <si>
    <t>28+竜+竜+12+(19+竜+竜+竜+12),11,11,11,12+11</t>
    <phoneticPr fontId="4"/>
  </si>
  <si>
    <t>【節分祭】黒百合伝説</t>
    <rPh sb="1" eb="3">
      <t>セツブン</t>
    </rPh>
    <rPh sb="3" eb="4">
      <t>サイ</t>
    </rPh>
    <rPh sb="5" eb="8">
      <t>クロユリ</t>
    </rPh>
    <rPh sb="8" eb="10">
      <t>デンセツ</t>
    </rPh>
    <phoneticPr fontId="4"/>
  </si>
  <si>
    <t>27+竜+竜+竜+12,11,11,11,12</t>
    <phoneticPr fontId="4"/>
  </si>
  <si>
    <t>28+竜+竜+12+(19+竜+竜+12+絶大),11,12,12,12</t>
    <phoneticPr fontId="4"/>
  </si>
  <si>
    <t>【手作りチョコ】ラウラ</t>
    <rPh sb="1" eb="3">
      <t>テヅク</t>
    </rPh>
    <phoneticPr fontId="4"/>
  </si>
  <si>
    <t>フレイア＆フレイ</t>
    <phoneticPr fontId="4"/>
  </si>
  <si>
    <t>可憐なる威嚇</t>
    <phoneticPr fontId="4"/>
  </si>
  <si>
    <t>せつぶんさいくろゆりでんせつ</t>
    <phoneticPr fontId="4"/>
  </si>
  <si>
    <t>摩訶不思議な手作りチョコレート</t>
    <phoneticPr fontId="4"/>
  </si>
  <si>
    <t>てづくりちょこらうら</t>
    <phoneticPr fontId="4"/>
  </si>
  <si>
    <t>美しき兄妹神</t>
    <phoneticPr fontId="4"/>
  </si>
  <si>
    <t>ふれいああんどふれい</t>
    <phoneticPr fontId="4"/>
  </si>
  <si>
    <t>27+竜+竜+竜+27,11,12</t>
    <phoneticPr fontId="4"/>
  </si>
  <si>
    <t>図鑑済 処10*2</t>
    <phoneticPr fontId="4"/>
  </si>
  <si>
    <t>図鑑済 処10*10,11*2,12*1,13*1</t>
    <phoneticPr fontId="4"/>
  </si>
  <si>
    <t>図鑑済 処10*1,11*1</t>
    <rPh sb="4" eb="5">
      <t>ショ</t>
    </rPh>
    <phoneticPr fontId="4"/>
  </si>
  <si>
    <t>【アイドルライブ】讃岐うどんちゃん</t>
    <phoneticPr fontId="4"/>
  </si>
  <si>
    <t>あいどるらいぶさぬきうどんちゃん</t>
    <phoneticPr fontId="4"/>
  </si>
  <si>
    <t>武器は長く伸びる歌声</t>
    <phoneticPr fontId="4"/>
  </si>
  <si>
    <t>[新生]【Yシャツ】赤井輝子</t>
    <phoneticPr fontId="4"/>
  </si>
  <si>
    <t>しんせいわいしゃつあかいてるこ</t>
    <phoneticPr fontId="4"/>
  </si>
  <si>
    <t>タイプ姫・伝承の防30％UP　/　タイプ【武人】の防10％UP</t>
  </si>
  <si>
    <t>タイプ偉人・名物の防30％UP　/　タイプ【妖怪】の防10％UP</t>
  </si>
  <si>
    <t>タイプ伝承・武人・姫の攻80％DOWN　/　タイプ偉人・名物の防25％UP</t>
  </si>
  <si>
    <t>タイプ神秘・知性派の防45％UP　/　タイプ【飲食】の防15％UP</t>
  </si>
  <si>
    <t>タイプ伝承・武人・姫の攻40％UP　/　タイプ武人・飲食・妖怪の防10％DOWN</t>
  </si>
  <si>
    <t>タイプ飲食・武人・名物の攻80％DOWN　/　タイプ知性派・飲食の防30％UP</t>
  </si>
  <si>
    <t>タイプ神秘・知性派の攻45％UP　/　タイプ【飲食】の攻15％UP</t>
  </si>
  <si>
    <t>タイプ伝承・武人・姫の防35％UP　/　タイプ偉人・姫・知性派の攻10％DOWN</t>
  </si>
  <si>
    <t>タイプ偉人・妖怪・名物の攻40％UP　/　タイプ伝承・偉人・神秘の防10％DOWN</t>
  </si>
  <si>
    <t>タイプ偉人・妖怪・名物の攻85％DOWN　/　タイプ武人・姫の防30％UP</t>
  </si>
  <si>
    <t>タイプ神秘・知性派の攻45％UP　/　タイプ【飲食】の攻30％UP</t>
  </si>
  <si>
    <t>タイプ知性派・飲食の防60％UP　/　タイプ【神秘】の防30％UP</t>
  </si>
  <si>
    <t>タイプ偉人・名物の防50％UP　/　タイプ【妖怪】の防20％UP</t>
  </si>
  <si>
    <t>タイプ伝承・武人・姫の攻40％UP　/　タイプ偉人・妖怪・名物の防10％DOWN</t>
  </si>
  <si>
    <t>タイプ【知性派】の防35％UP　/　タイプ神秘・飲食の防20％UP</t>
  </si>
  <si>
    <t>タイプ飲食・妖怪・姫の防85％DOWN　/　タイプ姫・伝承の攻30％UP</t>
  </si>
  <si>
    <t>タイプ【神秘】の攻35％UP　/　タイプ知性派・飲食の攻20％UP</t>
  </si>
  <si>
    <t>タイプ神秘・知性派・飲食の防45％UP　/　タイプ飲食・武人・名物の攻10％DOWN</t>
  </si>
  <si>
    <t>タイプ飲食・妖怪・姫の攻85％DOWN　/　タイプ姫・伝承の防30％UP</t>
  </si>
  <si>
    <t>タイプ神秘・知性派・飲食の防40％UP　/　タイプ姫・名物・知性派の攻10％DOWN</t>
  </si>
  <si>
    <t>タイプ【妖怪】の攻90％UP　/　タイプ偉人・名物の攻30％UP</t>
  </si>
  <si>
    <t>タイプ偉人・名物の攻45％UP　/　タイプ【妖怪】の攻30％UP</t>
  </si>
  <si>
    <t>タイプ【知性派】の防90％UP　/　タイプ神秘・飲食の防30％UP</t>
  </si>
  <si>
    <t>タイプ【飲食】の攻35％UP　/　タイプ神秘・知性派の攻20％UP</t>
  </si>
  <si>
    <t>タイプ伝承・武人・姫の防40％UP　/　タイプ神秘・武人・名物の攻10％DOWN</t>
  </si>
  <si>
    <t>タイプ伝承・武人・姫の防40％UP　/　タイプ姫・名物・神秘の攻10％DOWN</t>
  </si>
  <si>
    <t>タイプ妖怪・名物の攻50％UP　/　タイプ【偉人】の攻20％UP</t>
  </si>
  <si>
    <t>タイプ【神秘】の防35％UP　/　タイプ知性派・飲食の防20％UP</t>
  </si>
  <si>
    <t>タイプ伝承・武人・姫の攻40％UP　/　タイプ神秘・武人・名物の防10％DOWN</t>
  </si>
  <si>
    <t>タイプ伝承・武人・姫の防40％UP　/　タイプ武人・飲食・偉人の攻10％DOWN</t>
  </si>
  <si>
    <t>タイプ名物・武人・知性派の防85％DOWN　/　タイプ知性派・飲食の攻30％UP</t>
  </si>
  <si>
    <t>30+竜+竜+絶大+29,11,12,竜,竜</t>
    <rPh sb="19" eb="20">
      <t>リュウ</t>
    </rPh>
    <rPh sb="21" eb="22">
      <t>リュウ</t>
    </rPh>
    <phoneticPr fontId="4"/>
  </si>
  <si>
    <t>図鑑済 処10*2,11*1</t>
    <phoneticPr fontId="4"/>
  </si>
  <si>
    <t>図鑑済 処10*2,11*1,13*1</t>
    <phoneticPr fontId="4"/>
  </si>
  <si>
    <t>鈴蘭水仙</t>
    <phoneticPr fontId="4"/>
  </si>
  <si>
    <t>すずらんすいせん</t>
    <phoneticPr fontId="4"/>
  </si>
  <si>
    <t>大待雪草</t>
    <phoneticPr fontId="4"/>
  </si>
  <si>
    <t>タイプ偉人・妖怪・名物の防40％UP　/　タイプ武人・偉人・知性派の攻10％DOWN</t>
    <phoneticPr fontId="4"/>
  </si>
  <si>
    <t>タイプ【知性派】の防35％UP　/　タイプ神秘・飲食の防20％UP</t>
    <phoneticPr fontId="4"/>
  </si>
  <si>
    <t>【春調】ピオニー</t>
    <phoneticPr fontId="4"/>
  </si>
  <si>
    <t>しゅんちょうぴおにー</t>
    <phoneticPr fontId="4"/>
  </si>
  <si>
    <t>28+竜+12+絶大+(19+竜+竜+12+絶大),11,11,11,11+竜+竜</t>
    <phoneticPr fontId="4"/>
  </si>
  <si>
    <t>春精霊の管理者</t>
    <phoneticPr fontId="4"/>
  </si>
  <si>
    <t>タイプ神秘・知性派・飲食の攻45％UP　/　タイプ飲食・武人・名物の防10％DOWN</t>
    <phoneticPr fontId="4"/>
  </si>
  <si>
    <t>27+竜+12+絶大+(27+竜+竜+竜+絶大),11,11,11,12</t>
    <phoneticPr fontId="4"/>
  </si>
  <si>
    <t>30+竜+竜+絶大+(12+竜+竜+竜+11)</t>
    <phoneticPr fontId="4"/>
  </si>
  <si>
    <t>15+竜+10+10+12,16</t>
    <rPh sb="3" eb="4">
      <t>リュウ</t>
    </rPh>
    <phoneticPr fontId="1"/>
  </si>
  <si>
    <t>17+竜+竜+15+(16+竜+竜+竜+16)</t>
    <phoneticPr fontId="4"/>
  </si>
  <si>
    <t>図鑑無 処11+10+10,11+10,11,10</t>
    <rPh sb="2" eb="3">
      <t>ナシ</t>
    </rPh>
    <rPh sb="4" eb="5">
      <t>ショ</t>
    </rPh>
    <phoneticPr fontId="4"/>
  </si>
  <si>
    <t>図鑑無 処11+10+10</t>
    <rPh sb="2" eb="3">
      <t>ナシ</t>
    </rPh>
    <rPh sb="4" eb="5">
      <t>ショ</t>
    </rPh>
    <phoneticPr fontId="4"/>
  </si>
  <si>
    <t>2進MAX迄 処13+10+10,11+10,10</t>
    <rPh sb="1" eb="2">
      <t>シン</t>
    </rPh>
    <rPh sb="5" eb="6">
      <t>マデ</t>
    </rPh>
    <rPh sb="7" eb="8">
      <t>ショ</t>
    </rPh>
    <phoneticPr fontId="4"/>
  </si>
  <si>
    <t>2022/04/15 12:00～2022/06/15 11:59</t>
    <phoneticPr fontId="4"/>
  </si>
  <si>
    <t>タイプ【神秘】の攻35％UP　/　タイプ知性派・飲食の攻25％UP</t>
    <phoneticPr fontId="4"/>
  </si>
  <si>
    <t>襲いかかる激辛トウガラシ</t>
    <phoneticPr fontId="4"/>
  </si>
  <si>
    <t>しんせいたいわんらーめん</t>
    <phoneticPr fontId="4"/>
  </si>
  <si>
    <t>[新生]台湾ラーメン</t>
    <phoneticPr fontId="4"/>
  </si>
  <si>
    <t>タイプ【武人】の攻35％UP　/　タイプ姫・伝承の攻25％UP</t>
    <phoneticPr fontId="4"/>
  </si>
  <si>
    <t>クリスマス襲撃作戦！</t>
    <phoneticPr fontId="4"/>
  </si>
  <si>
    <t>しんせいいたずらさんたももたろう</t>
    <phoneticPr fontId="4"/>
  </si>
  <si>
    <t>[新生]【いたずらサンタ】桃太郎</t>
    <phoneticPr fontId="4"/>
  </si>
  <si>
    <t>タイプ神秘・飲食の防30％UP　/　タイプ【知性派】の防20％UP</t>
    <phoneticPr fontId="4"/>
  </si>
  <si>
    <t>円弧を描く一筋の羽根</t>
    <phoneticPr fontId="4"/>
  </si>
  <si>
    <t>しんせいがんたんくすもとたかこ</t>
    <phoneticPr fontId="4"/>
  </si>
  <si>
    <t>[新生]【元旦】楠本高子</t>
    <phoneticPr fontId="4"/>
  </si>
  <si>
    <t>タイプ【妖怪】の攻35％UP　/　タイプ偉人・名物の攻25％UP</t>
    <phoneticPr fontId="4"/>
  </si>
  <si>
    <t>浅草金龍山の象徴</t>
    <phoneticPr fontId="4"/>
  </si>
  <si>
    <t>しんせいあさくさのかみなりもん</t>
    <phoneticPr fontId="4"/>
  </si>
  <si>
    <t>[新生]浅草の雷門</t>
    <phoneticPr fontId="4"/>
  </si>
  <si>
    <t>2019/07防衛戦</t>
    <rPh sb="7" eb="10">
      <t>ボウエイセン</t>
    </rPh>
    <phoneticPr fontId="4"/>
  </si>
  <si>
    <t>2019/12防衛戦</t>
    <rPh sb="7" eb="10">
      <t>ボウエイセン</t>
    </rPh>
    <phoneticPr fontId="4"/>
  </si>
  <si>
    <t>2020/01防衛戦</t>
    <rPh sb="7" eb="10">
      <t>ボウエイセン</t>
    </rPh>
    <phoneticPr fontId="4"/>
  </si>
  <si>
    <t>2020/02防衛戦</t>
    <rPh sb="7" eb="10">
      <t>ボウエイセン</t>
    </rPh>
    <phoneticPr fontId="4"/>
  </si>
  <si>
    <t>引30</t>
    <rPh sb="0" eb="1">
      <t>ヒ</t>
    </rPh>
    <phoneticPr fontId="4"/>
  </si>
  <si>
    <t>31+竜+竜+絶大+極大 26+竜+竜+11+(18+竜+竜+竜+11),11,11,11,11</t>
    <rPh sb="7" eb="9">
      <t>ゼツダイ</t>
    </rPh>
    <rPh sb="10" eb="12">
      <t>キョクダイ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</si>
</sst>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sz val="13"/>
      <color theme="3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2"/>
      <scheme val="minor"/>
    </font>
    <font>
      <b/>
      <sz val="11"/>
      <color theme="0"/>
      <name val="Yu Gothic"/>
      <family val="3"/>
      <charset val="128"/>
    </font>
    <font>
      <u/>
      <sz val="11"/>
      <color theme="10"/>
      <name val="Yu Gothic"/>
      <family val="2"/>
      <scheme val="minor"/>
    </font>
    <font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7" fillId="0" borderId="0" xfId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1" fillId="0" borderId="0" xfId="0" applyNumberFormat="1" applyFon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1" applyFont="1" applyAlignment="1">
      <alignment vertical="center"/>
    </xf>
    <xf numFmtId="0" fontId="0" fillId="4" borderId="0" xfId="0" applyFill="1"/>
    <xf numFmtId="0" fontId="8" fillId="0" borderId="0" xfId="0" applyFont="1" applyAlignment="1">
      <alignment vertical="center"/>
    </xf>
    <xf numFmtId="0" fontId="1" fillId="0" borderId="0" xfId="1" applyFont="1" applyAlignment="1">
      <alignment vertical="center"/>
    </xf>
    <xf numFmtId="0" fontId="7" fillId="0" borderId="0" xfId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7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1"/>
  <sheetViews>
    <sheetView tabSelected="1"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24.5" style="4" customWidth="1"/>
    <col min="2" max="2" width="6.4140625" style="4" customWidth="1"/>
    <col min="3" max="3" width="10.58203125" style="4" customWidth="1"/>
    <col min="4" max="4" width="5.4140625" style="4" customWidth="1"/>
    <col min="5" max="5" width="30.75" style="4" customWidth="1"/>
    <col min="6" max="6" width="3.9140625" style="4" customWidth="1"/>
    <col min="7" max="7" width="23.4140625" style="4" hidden="1" customWidth="1"/>
    <col min="8" max="11" width="4.9140625" style="7" hidden="1" customWidth="1"/>
    <col min="12" max="12" width="20.6640625" style="7" hidden="1" customWidth="1"/>
    <col min="13" max="13" width="4.9140625" style="4" customWidth="1"/>
    <col min="14" max="15" width="7.33203125" style="4" customWidth="1"/>
    <col min="16" max="16" width="21.33203125" style="4" hidden="1" customWidth="1"/>
    <col min="17" max="17" width="70.9140625" style="4" customWidth="1"/>
    <col min="18" max="16384" width="8.9140625" style="4"/>
  </cols>
  <sheetData>
    <row r="1" spans="1:17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>
        <v>10</v>
      </c>
      <c r="I1" s="3">
        <v>11</v>
      </c>
      <c r="J1" s="3">
        <v>12</v>
      </c>
      <c r="K1" s="3">
        <v>13</v>
      </c>
      <c r="L1" s="3" t="s">
        <v>543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</row>
    <row r="2" spans="1:17">
      <c r="H2" s="4"/>
      <c r="I2" s="4"/>
      <c r="J2" s="4"/>
      <c r="K2" s="4"/>
      <c r="L2" s="4"/>
    </row>
    <row r="3" spans="1:17">
      <c r="A3" s="4" t="s">
        <v>76</v>
      </c>
    </row>
    <row r="4" spans="1:17">
      <c r="A4" s="4" t="s">
        <v>501</v>
      </c>
      <c r="N4" s="4" t="s">
        <v>2613</v>
      </c>
    </row>
    <row r="5" spans="1:17">
      <c r="A5" s="4" t="s">
        <v>502</v>
      </c>
      <c r="B5" s="4">
        <v>52273</v>
      </c>
      <c r="C5" s="4" t="s">
        <v>340</v>
      </c>
      <c r="D5" s="4" t="s">
        <v>468</v>
      </c>
      <c r="E5" s="5" t="s">
        <v>503</v>
      </c>
      <c r="F5" s="25" t="str">
        <f>HYPERLINK("https://stat100.ameba.jp/tnk47/ratio20/illustrations/card/ill_52273_ameutasugawaranomichizane03.jpg", "■")</f>
        <v>■</v>
      </c>
      <c r="G5" s="4" t="s">
        <v>504</v>
      </c>
      <c r="H5" s="7" t="s">
        <v>505</v>
      </c>
      <c r="I5" s="7" t="s">
        <v>506</v>
      </c>
      <c r="J5" s="7" t="s">
        <v>507</v>
      </c>
      <c r="L5" s="4" t="s">
        <v>508</v>
      </c>
      <c r="M5" s="4">
        <v>13</v>
      </c>
      <c r="N5" s="4">
        <v>38532</v>
      </c>
      <c r="O5" s="4">
        <v>34948</v>
      </c>
      <c r="P5" s="4" t="s">
        <v>509</v>
      </c>
      <c r="Q5" s="4" t="s">
        <v>510</v>
      </c>
    </row>
    <row r="6" spans="1:17">
      <c r="A6" s="4" t="s">
        <v>511</v>
      </c>
      <c r="B6" s="4">
        <v>52253</v>
      </c>
      <c r="C6" s="4" t="s">
        <v>202</v>
      </c>
      <c r="D6" s="4" t="s">
        <v>468</v>
      </c>
      <c r="E6" s="5" t="s">
        <v>512</v>
      </c>
      <c r="F6" s="6" t="str">
        <f>HYPERLINK("https://stat100.ameba.jp/tnk47/ratio20/illustrations/card/ill_52253_ameutamikajimayoshiko03.jpg", "■")</f>
        <v>■</v>
      </c>
      <c r="G6" s="4" t="s">
        <v>513</v>
      </c>
      <c r="L6" s="4" t="s">
        <v>514</v>
      </c>
      <c r="M6" s="4">
        <v>13</v>
      </c>
      <c r="N6" s="4">
        <v>34948</v>
      </c>
      <c r="O6" s="4">
        <v>38532</v>
      </c>
      <c r="P6" s="4" t="s">
        <v>515</v>
      </c>
      <c r="Q6" s="4" t="s">
        <v>516</v>
      </c>
    </row>
    <row r="7" spans="1:17">
      <c r="A7" s="4" t="s">
        <v>517</v>
      </c>
      <c r="B7" s="4">
        <v>52163</v>
      </c>
      <c r="C7" s="4" t="s">
        <v>340</v>
      </c>
      <c r="D7" s="4" t="s">
        <v>221</v>
      </c>
      <c r="E7" s="5" t="s">
        <v>518</v>
      </c>
      <c r="F7" s="6" t="str">
        <f>HYPERLINK("https://stat100.ameba.jp/tnk47/ratio20/illustrations/card/ill_52163_meianshiranui03.jpg", "■")</f>
        <v>■</v>
      </c>
      <c r="G7" s="4" t="s">
        <v>519</v>
      </c>
      <c r="H7" s="7" t="s">
        <v>520</v>
      </c>
      <c r="I7" s="7" t="s">
        <v>521</v>
      </c>
      <c r="J7" s="7" t="s">
        <v>522</v>
      </c>
      <c r="L7" s="4" t="s">
        <v>523</v>
      </c>
      <c r="M7" s="4">
        <v>13</v>
      </c>
      <c r="N7" s="4" t="s">
        <v>522</v>
      </c>
      <c r="O7" s="4" t="s">
        <v>522</v>
      </c>
      <c r="P7" s="4" t="s">
        <v>524</v>
      </c>
      <c r="Q7" s="4" t="s">
        <v>2614</v>
      </c>
    </row>
    <row r="8" spans="1:17">
      <c r="A8" s="4" t="s">
        <v>525</v>
      </c>
      <c r="B8" s="4">
        <v>52153</v>
      </c>
      <c r="C8" s="4" t="s">
        <v>266</v>
      </c>
      <c r="D8" s="4" t="s">
        <v>221</v>
      </c>
      <c r="E8" s="5" t="s">
        <v>526</v>
      </c>
      <c r="F8" s="6" t="str">
        <f>HYPERLINK("https://stat100.ameba.jp/tnk47/ratio20/illustrations/card/ill_52153_meiankageonna03.jpg", "■")</f>
        <v>■</v>
      </c>
      <c r="G8" s="4" t="s">
        <v>527</v>
      </c>
      <c r="L8" s="4" t="s">
        <v>528</v>
      </c>
      <c r="M8" s="4">
        <v>13</v>
      </c>
      <c r="N8" s="4">
        <v>34948</v>
      </c>
      <c r="O8" s="4">
        <v>38532</v>
      </c>
      <c r="P8" s="4" t="s">
        <v>529</v>
      </c>
      <c r="Q8" s="4" t="s">
        <v>530</v>
      </c>
    </row>
    <row r="9" spans="1:17">
      <c r="A9" s="4" t="s">
        <v>531</v>
      </c>
      <c r="B9" s="4">
        <v>51693</v>
      </c>
      <c r="C9" s="4" t="s">
        <v>215</v>
      </c>
      <c r="D9" s="4" t="s">
        <v>272</v>
      </c>
      <c r="E9" s="5" t="s">
        <v>532</v>
      </c>
      <c r="F9" s="6" t="str">
        <f>HYPERLINK("https://stat100.ameba.jp/tnk47/ratio20/illustrations/card/ill_51693_koakumaashiyadoman03.jpg", "■")</f>
        <v>■</v>
      </c>
      <c r="G9" s="4" t="s">
        <v>533</v>
      </c>
      <c r="L9" s="4" t="s">
        <v>534</v>
      </c>
      <c r="M9" s="4">
        <v>13</v>
      </c>
      <c r="N9" s="4">
        <v>38532</v>
      </c>
      <c r="O9" s="4">
        <v>34948</v>
      </c>
      <c r="P9" s="4" t="s">
        <v>535</v>
      </c>
      <c r="Q9" s="4" t="s">
        <v>2419</v>
      </c>
    </row>
    <row r="10" spans="1:17">
      <c r="A10" s="4" t="s">
        <v>536</v>
      </c>
      <c r="B10" s="4">
        <v>51633</v>
      </c>
      <c r="C10" s="4" t="s">
        <v>202</v>
      </c>
      <c r="D10" s="4" t="s">
        <v>330</v>
      </c>
      <c r="E10" s="5" t="s">
        <v>537</v>
      </c>
      <c r="F10" s="6" t="str">
        <f>HYPERLINK("https://stat100.ameba.jp/tnk47/ratio20/illustrations/card/ill_51633_yamagarukikyohime03.jpg", "■")</f>
        <v>■</v>
      </c>
      <c r="G10" s="4" t="s">
        <v>538</v>
      </c>
      <c r="L10" s="4" t="s">
        <v>539</v>
      </c>
      <c r="M10" s="4">
        <v>13</v>
      </c>
      <c r="N10" s="4">
        <v>34948</v>
      </c>
      <c r="O10" s="4">
        <v>38532</v>
      </c>
      <c r="P10" s="4" t="s">
        <v>540</v>
      </c>
      <c r="Q10" s="10" t="s">
        <v>541</v>
      </c>
    </row>
    <row r="12" spans="1:17" s="87" customFormat="1">
      <c r="H12" s="7"/>
      <c r="I12" s="7"/>
      <c r="J12" s="7"/>
      <c r="K12" s="7"/>
      <c r="L12" s="7"/>
    </row>
    <row r="13" spans="1:17">
      <c r="A13" s="4" t="s">
        <v>473</v>
      </c>
      <c r="H13" s="4"/>
      <c r="I13" s="4"/>
      <c r="J13" s="4"/>
      <c r="K13" s="4"/>
      <c r="L13" s="4"/>
    </row>
    <row r="14" spans="1:17">
      <c r="A14" s="4" t="s">
        <v>474</v>
      </c>
      <c r="B14" s="4">
        <v>53103</v>
      </c>
      <c r="C14" s="4" t="s">
        <v>202</v>
      </c>
      <c r="D14" s="4" t="s">
        <v>381</v>
      </c>
      <c r="E14" s="5" t="s">
        <v>475</v>
      </c>
      <c r="F14" s="6" t="str">
        <f>HYPERLINK("https://stat100.ameba.jp/tnk47/ratio20/illustrations/card/ill_53103_edomurasaki03.jpg", "■")</f>
        <v>■</v>
      </c>
      <c r="G14" s="4" t="s">
        <v>476</v>
      </c>
      <c r="H14" s="4"/>
      <c r="I14" s="4"/>
      <c r="J14" s="4"/>
      <c r="K14" s="4"/>
      <c r="L14" s="4" t="s">
        <v>477</v>
      </c>
      <c r="M14" s="4">
        <v>13</v>
      </c>
      <c r="N14" s="4">
        <v>38532</v>
      </c>
      <c r="O14" s="4">
        <v>34948</v>
      </c>
      <c r="P14" s="4" t="s">
        <v>478</v>
      </c>
      <c r="Q14" s="4" t="s">
        <v>403</v>
      </c>
    </row>
    <row r="15" spans="1:17">
      <c r="A15" s="4" t="s">
        <v>479</v>
      </c>
      <c r="B15" s="4">
        <v>52923</v>
      </c>
      <c r="C15" s="4" t="s">
        <v>241</v>
      </c>
      <c r="D15" s="4" t="s">
        <v>330</v>
      </c>
      <c r="E15" s="5" t="s">
        <v>480</v>
      </c>
      <c r="F15" s="6" t="str">
        <f>HYPERLINK("https://stat100.ameba.jp/tnk47/ratio20/illustrations/card/ill_52923_kantoriononotsu03.jpg", "■")</f>
        <v>■</v>
      </c>
      <c r="G15" s="4" t="s">
        <v>481</v>
      </c>
      <c r="H15" s="4"/>
      <c r="I15" s="4"/>
      <c r="J15" s="4"/>
      <c r="K15" s="4"/>
      <c r="L15" s="4" t="s">
        <v>482</v>
      </c>
      <c r="M15" s="4">
        <v>13</v>
      </c>
      <c r="N15" s="4">
        <v>38532</v>
      </c>
      <c r="O15" s="4">
        <v>34948</v>
      </c>
      <c r="P15" s="4" t="s">
        <v>483</v>
      </c>
      <c r="Q15" s="4" t="s">
        <v>484</v>
      </c>
    </row>
    <row r="16" spans="1:17">
      <c r="A16" s="4" t="s">
        <v>485</v>
      </c>
      <c r="B16" s="4">
        <v>52783</v>
      </c>
      <c r="C16" s="4" t="s">
        <v>241</v>
      </c>
      <c r="D16" s="4" t="s">
        <v>272</v>
      </c>
      <c r="E16" s="5" t="s">
        <v>486</v>
      </c>
      <c r="F16" s="6" t="str">
        <f>HYPERLINK("https://stat100.ameba.jp/tnk47/ratio20/illustrations/card/ill_52783_keijiogatakoan03.jpg", "■")</f>
        <v>■</v>
      </c>
      <c r="G16" s="4" t="s">
        <v>487</v>
      </c>
      <c r="H16" s="4"/>
      <c r="I16" s="4"/>
      <c r="J16" s="4"/>
      <c r="K16" s="4"/>
      <c r="L16" s="4" t="s">
        <v>488</v>
      </c>
      <c r="M16" s="4">
        <v>13</v>
      </c>
      <c r="N16" s="4">
        <v>34948</v>
      </c>
      <c r="O16" s="4">
        <v>38532</v>
      </c>
      <c r="P16" s="4" t="s">
        <v>489</v>
      </c>
      <c r="Q16" s="4" t="s">
        <v>490</v>
      </c>
    </row>
    <row r="17" spans="1:17">
      <c r="A17" s="4" t="s">
        <v>491</v>
      </c>
      <c r="B17" s="4">
        <v>52773</v>
      </c>
      <c r="C17" s="4" t="s">
        <v>266</v>
      </c>
      <c r="D17" s="4" t="s">
        <v>272</v>
      </c>
      <c r="E17" s="5" t="s">
        <v>492</v>
      </c>
      <c r="F17" s="6" t="str">
        <f>HYPERLINK("https://stat100.ameba.jp/tnk47/ratio20/illustrations/card/ill_52773_keijisonobehideo03.jpg", "■")</f>
        <v>■</v>
      </c>
      <c r="G17" s="4" t="s">
        <v>493</v>
      </c>
      <c r="L17" s="4" t="s">
        <v>494</v>
      </c>
      <c r="M17" s="4">
        <v>13</v>
      </c>
      <c r="N17" s="4">
        <v>38532</v>
      </c>
      <c r="O17" s="4">
        <v>34948</v>
      </c>
      <c r="P17" s="4" t="s">
        <v>495</v>
      </c>
      <c r="Q17" s="4" t="s">
        <v>391</v>
      </c>
    </row>
    <row r="18" spans="1:17">
      <c r="A18" s="4" t="s">
        <v>496</v>
      </c>
      <c r="B18" s="4">
        <v>45443</v>
      </c>
      <c r="C18" s="4" t="s">
        <v>215</v>
      </c>
      <c r="D18" s="4" t="s">
        <v>216</v>
      </c>
      <c r="E18" s="5" t="s">
        <v>497</v>
      </c>
      <c r="F18" s="6" t="str">
        <f>HYPERLINK("https://stat100.ameba.jp/tnk47/ratio20/illustrations/card/ill_45443_mazerampengin03.jpg", "■")</f>
        <v>■</v>
      </c>
      <c r="G18" s="4" t="s">
        <v>498</v>
      </c>
      <c r="L18" s="4" t="s">
        <v>499</v>
      </c>
      <c r="M18" s="4">
        <v>13</v>
      </c>
      <c r="N18" s="4">
        <v>34948</v>
      </c>
      <c r="O18" s="4">
        <v>38532</v>
      </c>
      <c r="P18" s="4" t="s">
        <v>500</v>
      </c>
      <c r="Q18" s="4" t="s">
        <v>2418</v>
      </c>
    </row>
    <row r="20" spans="1:17">
      <c r="A20" s="4" t="s">
        <v>446</v>
      </c>
    </row>
    <row r="21" spans="1:17">
      <c r="A21" s="4" t="s">
        <v>447</v>
      </c>
      <c r="B21" s="4">
        <v>54043</v>
      </c>
      <c r="C21" s="4" t="s">
        <v>266</v>
      </c>
      <c r="D21" s="4" t="s">
        <v>216</v>
      </c>
      <c r="E21" s="4" t="s">
        <v>448</v>
      </c>
      <c r="F21" s="6" t="str">
        <f>HYPERLINK("https://stat100.ameba.jp/tnk47/ratio20/illustrations/card/ill_54043_kyampumarimo03.jpg", "■")</f>
        <v>■</v>
      </c>
      <c r="G21" s="4" t="s">
        <v>449</v>
      </c>
      <c r="L21" s="4" t="s">
        <v>450</v>
      </c>
      <c r="M21" s="4">
        <v>13</v>
      </c>
      <c r="N21" s="4">
        <v>34948</v>
      </c>
      <c r="O21" s="4">
        <v>38532</v>
      </c>
      <c r="P21" s="4" t="s">
        <v>451</v>
      </c>
      <c r="Q21" s="4" t="s">
        <v>2414</v>
      </c>
    </row>
    <row r="22" spans="1:17">
      <c r="A22" s="4" t="s">
        <v>452</v>
      </c>
      <c r="B22" s="4">
        <v>53893</v>
      </c>
      <c r="C22" s="4" t="s">
        <v>340</v>
      </c>
      <c r="D22" s="4" t="s">
        <v>381</v>
      </c>
      <c r="E22" s="4" t="s">
        <v>453</v>
      </c>
      <c r="F22" s="6" t="str">
        <f>HYPERLINK("https://stat100.ameba.jp/tnk47/ratio20/illustrations/card/ill_53893_obakeyashikiochihime03.jpg", "■")</f>
        <v>■</v>
      </c>
      <c r="G22" s="4" t="s">
        <v>454</v>
      </c>
      <c r="H22" s="4"/>
      <c r="I22" s="4"/>
      <c r="J22" s="4"/>
      <c r="K22" s="4"/>
      <c r="L22" s="4" t="s">
        <v>455</v>
      </c>
      <c r="M22" s="4">
        <v>13</v>
      </c>
      <c r="N22" s="4">
        <v>34948</v>
      </c>
      <c r="O22" s="4">
        <v>38532</v>
      </c>
      <c r="P22" s="4" t="s">
        <v>456</v>
      </c>
      <c r="Q22" s="4" t="s">
        <v>2415</v>
      </c>
    </row>
    <row r="23" spans="1:17">
      <c r="A23" s="4" t="s">
        <v>457</v>
      </c>
      <c r="B23" s="4">
        <v>53593</v>
      </c>
      <c r="C23" s="4" t="s">
        <v>215</v>
      </c>
      <c r="D23" s="4" t="s">
        <v>295</v>
      </c>
      <c r="E23" s="4" t="s">
        <v>458</v>
      </c>
      <c r="F23" s="6" t="str">
        <f>HYPERLINK("https://stat100.ameba.jp/tnk47/ratio20/illustrations/card/ill_53593_kaigunishikawagoemon03.jpg", "■")</f>
        <v>■</v>
      </c>
      <c r="G23" s="4" t="s">
        <v>459</v>
      </c>
      <c r="H23" s="4"/>
      <c r="I23" s="4"/>
      <c r="J23" s="4"/>
      <c r="K23" s="4"/>
      <c r="L23" s="4" t="s">
        <v>460</v>
      </c>
      <c r="M23" s="4">
        <v>13</v>
      </c>
      <c r="N23" s="4">
        <v>38532</v>
      </c>
      <c r="O23" s="4">
        <v>34948</v>
      </c>
      <c r="P23" s="4" t="s">
        <v>461</v>
      </c>
      <c r="Q23" s="4" t="s">
        <v>2416</v>
      </c>
    </row>
    <row r="24" spans="1:17">
      <c r="A24" s="4" t="s">
        <v>462</v>
      </c>
      <c r="B24" s="4">
        <v>53583</v>
      </c>
      <c r="C24" s="4" t="s">
        <v>202</v>
      </c>
      <c r="D24" s="4" t="s">
        <v>295</v>
      </c>
      <c r="E24" s="4" t="s">
        <v>463</v>
      </c>
      <c r="F24" s="6" t="str">
        <f>HYPERLINK("https://stat100.ameba.jp/tnk47/ratio20/illustrations/card/ill_53583_kaiguniinaomasa03.jpg", "■")</f>
        <v>■</v>
      </c>
      <c r="G24" s="4" t="s">
        <v>464</v>
      </c>
      <c r="H24" s="4"/>
      <c r="I24" s="4"/>
      <c r="J24" s="4"/>
      <c r="K24" s="4"/>
      <c r="L24" s="4" t="s">
        <v>465</v>
      </c>
      <c r="M24" s="4">
        <v>13</v>
      </c>
      <c r="N24" s="4">
        <v>34948</v>
      </c>
      <c r="O24" s="4">
        <v>38532</v>
      </c>
      <c r="P24" s="4" t="s">
        <v>466</v>
      </c>
      <c r="Q24" s="4" t="s">
        <v>2417</v>
      </c>
    </row>
    <row r="25" spans="1:17">
      <c r="A25" s="4" t="s">
        <v>467</v>
      </c>
      <c r="B25" s="4">
        <v>53383</v>
      </c>
      <c r="C25" s="4" t="s">
        <v>215</v>
      </c>
      <c r="D25" s="4" t="s">
        <v>468</v>
      </c>
      <c r="E25" s="4" t="s">
        <v>469</v>
      </c>
      <c r="F25" s="6" t="str">
        <f>HYPERLINK("https://stat100.ameba.jp/tnk47/ratio20/illustrations/card/ill_53383_miyabiwagakkiisonokamitsuyuko03.jpg", "■")</f>
        <v>■</v>
      </c>
      <c r="G25" s="4" t="s">
        <v>470</v>
      </c>
      <c r="H25" s="4"/>
      <c r="I25" s="4"/>
      <c r="J25" s="4"/>
      <c r="K25" s="4"/>
      <c r="L25" s="4" t="s">
        <v>471</v>
      </c>
      <c r="M25" s="4">
        <v>13</v>
      </c>
      <c r="N25" s="4">
        <v>34948</v>
      </c>
      <c r="O25" s="4">
        <v>38532</v>
      </c>
      <c r="P25" s="4" t="s">
        <v>472</v>
      </c>
      <c r="Q25" s="4" t="s">
        <v>516</v>
      </c>
    </row>
    <row r="26" spans="1:17">
      <c r="H26" s="4"/>
      <c r="I26" s="4"/>
      <c r="J26" s="4"/>
      <c r="K26" s="4"/>
      <c r="L26" s="4"/>
    </row>
    <row r="27" spans="1:17">
      <c r="A27" s="4" t="s">
        <v>410</v>
      </c>
    </row>
    <row r="28" spans="1:17">
      <c r="A28" s="4" t="s">
        <v>411</v>
      </c>
      <c r="B28" s="4">
        <v>54943</v>
      </c>
      <c r="C28" s="4" t="s">
        <v>266</v>
      </c>
      <c r="D28" s="4" t="s">
        <v>295</v>
      </c>
      <c r="E28" s="5" t="s">
        <v>412</v>
      </c>
      <c r="F28" s="6" t="str">
        <f>HYPERLINK("https://stat100.ameba.jp/tnk47/ratio20/illustrations/card/ill_54943_akitachikasue03.jpg", "■")</f>
        <v>■</v>
      </c>
      <c r="G28" s="4" t="s">
        <v>413</v>
      </c>
      <c r="H28" s="7" t="s">
        <v>414</v>
      </c>
      <c r="I28" s="7" t="s">
        <v>415</v>
      </c>
      <c r="J28" s="9" t="s">
        <v>416</v>
      </c>
      <c r="L28" s="4" t="s">
        <v>2561</v>
      </c>
      <c r="M28" s="4">
        <v>13</v>
      </c>
      <c r="N28" s="4" t="s">
        <v>2569</v>
      </c>
      <c r="O28" s="4" t="s">
        <v>2568</v>
      </c>
      <c r="P28" s="4" t="s">
        <v>417</v>
      </c>
      <c r="Q28" s="4" t="s">
        <v>418</v>
      </c>
    </row>
    <row r="29" spans="1:17">
      <c r="A29" s="4" t="s">
        <v>419</v>
      </c>
      <c r="B29" s="4">
        <v>55063</v>
      </c>
      <c r="C29" s="4" t="s">
        <v>266</v>
      </c>
      <c r="D29" s="4" t="s">
        <v>221</v>
      </c>
      <c r="E29" s="5" t="s">
        <v>420</v>
      </c>
      <c r="F29" s="6" t="str">
        <f>HYPERLINK("https://stat100.ameba.jp/tnk47/ratio20/illustrations/card/ill_55063_gingitsune03.jpg", "■")</f>
        <v>■</v>
      </c>
      <c r="G29" s="4" t="s">
        <v>421</v>
      </c>
      <c r="H29" s="4" t="s">
        <v>422</v>
      </c>
      <c r="I29" s="4" t="s">
        <v>423</v>
      </c>
      <c r="J29" s="4" t="s">
        <v>424</v>
      </c>
      <c r="K29" s="4"/>
      <c r="L29" s="4" t="s">
        <v>2562</v>
      </c>
      <c r="M29" s="4">
        <v>13</v>
      </c>
      <c r="N29" s="4" t="s">
        <v>2567</v>
      </c>
      <c r="O29" s="4" t="s">
        <v>2566</v>
      </c>
      <c r="P29" s="4" t="s">
        <v>425</v>
      </c>
      <c r="Q29" s="4" t="s">
        <v>426</v>
      </c>
    </row>
    <row r="30" spans="1:17">
      <c r="A30" s="4" t="s">
        <v>427</v>
      </c>
      <c r="B30" s="4">
        <v>54993</v>
      </c>
      <c r="C30" s="4" t="s">
        <v>202</v>
      </c>
      <c r="D30" s="4" t="s">
        <v>357</v>
      </c>
      <c r="E30" s="5" t="s">
        <v>428</v>
      </c>
      <c r="F30" s="6" t="str">
        <f>HYPERLINK("https://stat100.ameba.jp/tnk47/ratio20/illustrations/card/ill_54993_kenchinudonchan03.jpg", "■")</f>
        <v>■</v>
      </c>
      <c r="G30" s="4" t="s">
        <v>429</v>
      </c>
      <c r="H30" s="7" t="s">
        <v>430</v>
      </c>
      <c r="I30" s="4" t="s">
        <v>431</v>
      </c>
      <c r="J30" s="4" t="s">
        <v>432</v>
      </c>
      <c r="K30" s="4"/>
      <c r="L30" s="4" t="s">
        <v>2564</v>
      </c>
      <c r="M30" s="4">
        <v>13</v>
      </c>
      <c r="N30" s="49" t="s">
        <v>2566</v>
      </c>
      <c r="O30" s="49" t="s">
        <v>2567</v>
      </c>
      <c r="P30" s="4" t="s">
        <v>433</v>
      </c>
      <c r="Q30" s="4" t="s">
        <v>434</v>
      </c>
    </row>
    <row r="31" spans="1:17">
      <c r="A31" s="4" t="s">
        <v>435</v>
      </c>
      <c r="B31" s="4">
        <v>54693</v>
      </c>
      <c r="C31" s="4" t="s">
        <v>279</v>
      </c>
      <c r="D31" s="4" t="s">
        <v>330</v>
      </c>
      <c r="E31" s="5" t="s">
        <v>436</v>
      </c>
      <c r="F31" s="6" t="str">
        <f>HYPERLINK("https://stat100.ameba.jp/tnk47/ratio20/illustrations/card/ill_54693_okashinishigorinotsubone03.jpg", "■")</f>
        <v>■</v>
      </c>
      <c r="G31" s="4" t="s">
        <v>437</v>
      </c>
      <c r="H31" s="7" t="s">
        <v>430</v>
      </c>
      <c r="I31" s="4" t="s">
        <v>431</v>
      </c>
      <c r="J31" s="4" t="s">
        <v>432</v>
      </c>
      <c r="K31" s="4"/>
      <c r="L31" s="4" t="s">
        <v>2565</v>
      </c>
      <c r="M31" s="4">
        <v>13</v>
      </c>
      <c r="N31" s="49" t="s">
        <v>2566</v>
      </c>
      <c r="O31" s="49" t="s">
        <v>2567</v>
      </c>
      <c r="P31" s="4" t="s">
        <v>438</v>
      </c>
      <c r="Q31" s="4" t="s">
        <v>439</v>
      </c>
    </row>
    <row r="32" spans="1:17">
      <c r="A32" s="4" t="s">
        <v>440</v>
      </c>
      <c r="B32" s="4">
        <v>55003</v>
      </c>
      <c r="C32" s="4" t="s">
        <v>215</v>
      </c>
      <c r="D32" s="4" t="s">
        <v>357</v>
      </c>
      <c r="E32" s="5" t="s">
        <v>441</v>
      </c>
      <c r="F32" s="6" t="str">
        <f>HYPERLINK("https://stat100.ameba.jp/tnk47/ratio20/illustrations/card/ill_55003_sukiyakiudonchan03.jpg", "■")</f>
        <v>■</v>
      </c>
      <c r="G32" s="4" t="s">
        <v>442</v>
      </c>
      <c r="H32" s="4" t="s">
        <v>422</v>
      </c>
      <c r="I32" s="4" t="s">
        <v>443</v>
      </c>
      <c r="J32" s="4" t="s">
        <v>424</v>
      </c>
      <c r="K32" s="4"/>
      <c r="L32" s="4" t="s">
        <v>2563</v>
      </c>
      <c r="M32" s="4">
        <v>13</v>
      </c>
      <c r="N32" s="49" t="s">
        <v>2567</v>
      </c>
      <c r="O32" s="49" t="s">
        <v>2566</v>
      </c>
      <c r="P32" s="4" t="s">
        <v>444</v>
      </c>
      <c r="Q32" s="4" t="s">
        <v>445</v>
      </c>
    </row>
    <row r="33" spans="1:17">
      <c r="H33" s="4"/>
      <c r="I33" s="4"/>
      <c r="J33" s="4"/>
      <c r="K33" s="4"/>
      <c r="L33" s="4"/>
    </row>
    <row r="34" spans="1:17">
      <c r="A34" s="4" t="s">
        <v>386</v>
      </c>
    </row>
    <row r="35" spans="1:17">
      <c r="A35" s="4" t="s">
        <v>387</v>
      </c>
      <c r="B35" s="4">
        <v>55353</v>
      </c>
      <c r="C35" s="4" t="s">
        <v>202</v>
      </c>
      <c r="D35" s="4" t="s">
        <v>272</v>
      </c>
      <c r="E35" s="4" t="s">
        <v>388</v>
      </c>
      <c r="F35" s="6" t="str">
        <f>HYPERLINK("https://stat100.ameba.jp/tnk47/ratio20/illustrations/card/ill_55353_burakkukatsukaishu03.jpg", "■")</f>
        <v>■</v>
      </c>
      <c r="G35" s="4" t="s">
        <v>389</v>
      </c>
      <c r="L35" s="4" t="s">
        <v>378</v>
      </c>
      <c r="M35" s="4">
        <v>13</v>
      </c>
      <c r="N35" s="4">
        <v>38532</v>
      </c>
      <c r="O35" s="4">
        <v>34948</v>
      </c>
      <c r="P35" s="4" t="s">
        <v>390</v>
      </c>
      <c r="Q35" s="4" t="s">
        <v>391</v>
      </c>
    </row>
    <row r="36" spans="1:17">
      <c r="A36" s="4" t="s">
        <v>392</v>
      </c>
      <c r="B36" s="4">
        <v>55783</v>
      </c>
      <c r="C36" s="4" t="s">
        <v>202</v>
      </c>
      <c r="D36" s="4" t="s">
        <v>381</v>
      </c>
      <c r="E36" s="4" t="s">
        <v>393</v>
      </c>
      <c r="F36" s="6" t="str">
        <f>HYPERLINK("https://stat100.ameba.jp/tnk47/ratio20/illustrations/card/ill_55783_kawagoehikawamatsuri03.jpg", "■")</f>
        <v>■</v>
      </c>
      <c r="G36" s="4" t="s">
        <v>394</v>
      </c>
      <c r="H36" s="4"/>
      <c r="I36" s="4"/>
      <c r="J36" s="4"/>
      <c r="K36" s="4"/>
      <c r="L36" s="4" t="s">
        <v>395</v>
      </c>
      <c r="M36" s="4">
        <v>13</v>
      </c>
      <c r="N36" s="4">
        <v>34948</v>
      </c>
      <c r="O36" s="4">
        <v>38532</v>
      </c>
      <c r="P36" s="4" t="s">
        <v>396</v>
      </c>
      <c r="Q36" s="4" t="s">
        <v>397</v>
      </c>
    </row>
    <row r="37" spans="1:17">
      <c r="A37" s="4" t="s">
        <v>398</v>
      </c>
      <c r="B37" s="4">
        <v>55793</v>
      </c>
      <c r="C37" s="4" t="s">
        <v>340</v>
      </c>
      <c r="D37" s="4" t="s">
        <v>381</v>
      </c>
      <c r="E37" s="4" t="s">
        <v>399</v>
      </c>
      <c r="F37" s="6" t="str">
        <f>HYPERLINK("https://stat100.ameba.jp/tnk47/ratio20/illustrations/card/ill_55793_nahaotsunahikimatsuri03.jpg", "■")</f>
        <v>■</v>
      </c>
      <c r="G37" s="4" t="s">
        <v>400</v>
      </c>
      <c r="H37" s="4"/>
      <c r="I37" s="4"/>
      <c r="J37" s="4"/>
      <c r="K37" s="4"/>
      <c r="L37" s="4" t="s">
        <v>401</v>
      </c>
      <c r="M37" s="4">
        <v>13</v>
      </c>
      <c r="N37" s="4">
        <v>38532</v>
      </c>
      <c r="O37" s="4">
        <v>34948</v>
      </c>
      <c r="P37" s="4" t="s">
        <v>402</v>
      </c>
      <c r="Q37" s="4" t="s">
        <v>403</v>
      </c>
    </row>
    <row r="38" spans="1:17">
      <c r="A38" s="4" t="s">
        <v>404</v>
      </c>
      <c r="B38" s="4">
        <v>55463</v>
      </c>
      <c r="C38" s="4" t="s">
        <v>340</v>
      </c>
      <c r="D38" s="4" t="s">
        <v>221</v>
      </c>
      <c r="E38" s="4" t="s">
        <v>405</v>
      </c>
      <c r="F38" s="6" t="str">
        <f>HYPERLINK("https://stat100.ameba.jp/tnk47/ratio20/illustrations/card/ill_55463_kakutoginabeshimanobakeneko03.jpg", "■")</f>
        <v>■</v>
      </c>
      <c r="G38" s="4" t="s">
        <v>406</v>
      </c>
      <c r="H38" s="4"/>
      <c r="I38" s="4"/>
      <c r="J38" s="4"/>
      <c r="K38" s="4"/>
      <c r="L38" s="4" t="s">
        <v>407</v>
      </c>
      <c r="M38" s="4">
        <v>13</v>
      </c>
      <c r="N38" s="4">
        <v>38532</v>
      </c>
      <c r="O38" s="4">
        <v>34948</v>
      </c>
      <c r="P38" s="4" t="s">
        <v>408</v>
      </c>
      <c r="Q38" s="4" t="s">
        <v>409</v>
      </c>
    </row>
    <row r="39" spans="1:17">
      <c r="H39" s="4"/>
      <c r="I39" s="4"/>
      <c r="J39" s="4"/>
      <c r="K39" s="4"/>
      <c r="L39" s="4"/>
    </row>
    <row r="40" spans="1:17">
      <c r="A40" s="4" t="s">
        <v>355</v>
      </c>
      <c r="H40" s="4"/>
      <c r="I40" s="4"/>
      <c r="J40" s="4"/>
      <c r="K40" s="4"/>
      <c r="L40" s="4"/>
    </row>
    <row r="41" spans="1:17">
      <c r="A41" s="4" t="s">
        <v>356</v>
      </c>
      <c r="B41" s="4">
        <v>55973</v>
      </c>
      <c r="C41" s="4" t="s">
        <v>266</v>
      </c>
      <c r="D41" s="4" t="s">
        <v>357</v>
      </c>
      <c r="E41" s="4" t="s">
        <v>358</v>
      </c>
      <c r="F41" s="6" t="str">
        <f>HYPERLINK("https://stat100.ameba.jp/tnk47/ratio20/illustrations/card/ill_55973_togarashi03.jpg", "■")</f>
        <v>■</v>
      </c>
      <c r="G41" s="4" t="s">
        <v>359</v>
      </c>
      <c r="H41" s="4"/>
      <c r="I41" s="4"/>
      <c r="J41" s="4"/>
      <c r="K41" s="4"/>
      <c r="L41" s="4" t="s">
        <v>360</v>
      </c>
      <c r="M41" s="4">
        <v>13</v>
      </c>
      <c r="N41" s="4">
        <v>34948</v>
      </c>
      <c r="O41" s="4">
        <v>38532</v>
      </c>
      <c r="P41" s="4" t="s">
        <v>361</v>
      </c>
      <c r="Q41" s="4" t="s">
        <v>362</v>
      </c>
    </row>
    <row r="42" spans="1:17" ht="36">
      <c r="A42" s="4" t="s">
        <v>363</v>
      </c>
      <c r="B42" s="4">
        <v>56323</v>
      </c>
      <c r="C42" s="4" t="s">
        <v>215</v>
      </c>
      <c r="D42" s="4" t="s">
        <v>221</v>
      </c>
      <c r="E42" s="4" t="s">
        <v>364</v>
      </c>
      <c r="F42" s="6" t="str">
        <f>HYPERLINK("https://stat100.ameba.jp/tnk47/ratio20/illustrations/card/ill_56323_takekiridanuki03.jpg", "■")</f>
        <v>■</v>
      </c>
      <c r="G42" s="4" t="s">
        <v>365</v>
      </c>
      <c r="L42" s="4" t="s">
        <v>366</v>
      </c>
      <c r="M42" s="4">
        <v>13</v>
      </c>
      <c r="N42" s="4">
        <v>38532</v>
      </c>
      <c r="O42" s="4">
        <v>34948</v>
      </c>
      <c r="P42" s="4" t="s">
        <v>367</v>
      </c>
      <c r="Q42" s="8" t="s">
        <v>368</v>
      </c>
    </row>
    <row r="43" spans="1:17" ht="36">
      <c r="A43" s="4" t="s">
        <v>369</v>
      </c>
      <c r="B43" s="4">
        <v>56313</v>
      </c>
      <c r="C43" s="4" t="s">
        <v>266</v>
      </c>
      <c r="D43" s="4" t="s">
        <v>221</v>
      </c>
      <c r="E43" s="4" t="s">
        <v>370</v>
      </c>
      <c r="F43" s="6" t="str">
        <f>HYPERLINK("https://stat100.ameba.jp/tnk47/ratio20/illustrations/card/ill_56313_shojo03.jpg", "■")</f>
        <v>■</v>
      </c>
      <c r="G43" s="4" t="s">
        <v>371</v>
      </c>
      <c r="L43" s="4" t="s">
        <v>372</v>
      </c>
      <c r="M43" s="4">
        <v>13</v>
      </c>
      <c r="N43" s="4">
        <v>38532</v>
      </c>
      <c r="O43" s="4">
        <v>34948</v>
      </c>
      <c r="P43" s="4" t="s">
        <v>373</v>
      </c>
      <c r="Q43" s="8" t="s">
        <v>374</v>
      </c>
    </row>
    <row r="44" spans="1:17">
      <c r="A44" s="4" t="s">
        <v>375</v>
      </c>
      <c r="B44" s="4">
        <v>56133</v>
      </c>
      <c r="C44" s="4" t="s">
        <v>266</v>
      </c>
      <c r="D44" s="4" t="s">
        <v>330</v>
      </c>
      <c r="E44" s="4" t="s">
        <v>376</v>
      </c>
      <c r="F44" s="6" t="str">
        <f>HYPERLINK("https://stat100.ameba.jp/tnk47/ratio20/illustrations/card/ill_56133_machingubandomarihime03.jpg", "■")</f>
        <v>■</v>
      </c>
      <c r="G44" s="4" t="s">
        <v>377</v>
      </c>
      <c r="H44" s="8"/>
      <c r="I44" s="8"/>
      <c r="J44" s="8"/>
      <c r="K44" s="8"/>
      <c r="L44" s="4" t="s">
        <v>378</v>
      </c>
      <c r="M44" s="4">
        <v>13</v>
      </c>
      <c r="N44" s="4">
        <v>34948</v>
      </c>
      <c r="O44" s="4">
        <v>38532</v>
      </c>
      <c r="P44" s="4" t="s">
        <v>379</v>
      </c>
      <c r="Q44" s="4" t="s">
        <v>317</v>
      </c>
    </row>
    <row r="45" spans="1:17">
      <c r="A45" s="4" t="s">
        <v>380</v>
      </c>
      <c r="B45" s="4">
        <v>56353</v>
      </c>
      <c r="C45" s="4" t="s">
        <v>202</v>
      </c>
      <c r="D45" s="4" t="s">
        <v>381</v>
      </c>
      <c r="E45" s="5" t="s">
        <v>382</v>
      </c>
      <c r="F45" s="6" t="str">
        <f>HYPERLINK("https://stat100.ameba.jp/tnk47/ratio20/illustrations/card/ill_56353_mikagurashiratakihime03.jpg", "■")</f>
        <v>■</v>
      </c>
      <c r="G45" s="4" t="s">
        <v>383</v>
      </c>
      <c r="H45" s="4"/>
      <c r="I45" s="4"/>
      <c r="J45" s="4"/>
      <c r="K45" s="4"/>
      <c r="L45" s="4" t="s">
        <v>384</v>
      </c>
      <c r="M45" s="4">
        <v>13</v>
      </c>
      <c r="N45" s="4">
        <v>34948</v>
      </c>
      <c r="O45" s="4">
        <v>38532</v>
      </c>
      <c r="P45" s="4" t="s">
        <v>385</v>
      </c>
      <c r="Q45" s="4" t="s">
        <v>258</v>
      </c>
    </row>
    <row r="46" spans="1:17" s="45" customFormat="1">
      <c r="H46" s="7"/>
      <c r="I46" s="7"/>
      <c r="J46" s="7"/>
      <c r="K46" s="7"/>
      <c r="L46" s="7"/>
    </row>
    <row r="47" spans="1:17">
      <c r="A47" s="4" t="s">
        <v>328</v>
      </c>
      <c r="H47" s="4"/>
      <c r="I47" s="4"/>
      <c r="J47" s="4"/>
      <c r="K47" s="4"/>
      <c r="L47" s="4"/>
    </row>
    <row r="48" spans="1:17">
      <c r="A48" s="4" t="s">
        <v>329</v>
      </c>
      <c r="B48" s="4">
        <v>57063</v>
      </c>
      <c r="C48" s="4" t="s">
        <v>215</v>
      </c>
      <c r="D48" s="4" t="s">
        <v>330</v>
      </c>
      <c r="E48" s="4" t="s">
        <v>331</v>
      </c>
      <c r="F48" s="6" t="str">
        <f>HYPERLINK("https://stat100.ameba.jp/tnk47/ratio20/illustrations/card/ill_57063_anoyasuko03.jpg", "■")</f>
        <v>■</v>
      </c>
      <c r="G48" s="4" t="s">
        <v>332</v>
      </c>
      <c r="H48" s="4"/>
      <c r="I48" s="4"/>
      <c r="J48" s="4"/>
      <c r="K48" s="4"/>
      <c r="L48" s="4" t="s">
        <v>2550</v>
      </c>
      <c r="M48" s="4">
        <v>13</v>
      </c>
      <c r="N48" s="4">
        <v>38532</v>
      </c>
      <c r="O48" s="4">
        <v>34948</v>
      </c>
      <c r="P48" s="4" t="s">
        <v>333</v>
      </c>
      <c r="Q48" s="4" t="s">
        <v>334</v>
      </c>
    </row>
    <row r="49" spans="1:17">
      <c r="A49" s="4" t="s">
        <v>335</v>
      </c>
      <c r="B49" s="4">
        <v>56563</v>
      </c>
      <c r="C49" s="4" t="s">
        <v>279</v>
      </c>
      <c r="D49" s="4" t="s">
        <v>267</v>
      </c>
      <c r="E49" s="4" t="s">
        <v>336</v>
      </c>
      <c r="F49" s="6" t="str">
        <f>HYPERLINK("https://stat100.ameba.jp/tnk47/ratio20/illustrations/card/ill_56563_yukinoshizengenshoasamanookami03.jpg", "■")</f>
        <v>■</v>
      </c>
      <c r="G49" s="4" t="s">
        <v>337</v>
      </c>
      <c r="H49" s="4"/>
      <c r="I49" s="4"/>
      <c r="J49" s="4"/>
      <c r="K49" s="4"/>
      <c r="L49" s="4" t="s">
        <v>2551</v>
      </c>
      <c r="M49" s="4">
        <v>13</v>
      </c>
      <c r="N49" s="4">
        <v>34948</v>
      </c>
      <c r="O49" s="4">
        <v>38532</v>
      </c>
      <c r="P49" s="4" t="s">
        <v>338</v>
      </c>
      <c r="Q49" s="4" t="s">
        <v>151</v>
      </c>
    </row>
    <row r="50" spans="1:17">
      <c r="A50" s="4" t="s">
        <v>339</v>
      </c>
      <c r="B50" s="4">
        <v>56573</v>
      </c>
      <c r="C50" s="4" t="s">
        <v>340</v>
      </c>
      <c r="D50" s="4" t="s">
        <v>267</v>
      </c>
      <c r="E50" s="4" t="s">
        <v>341</v>
      </c>
      <c r="F50" s="6" t="str">
        <f>HYPERLINK("https://stat100.ameba.jp/tnk47/ratio20/illustrations/card/ill_56573_yukinoshizengenshokoinomikoto03.jpg", "■")</f>
        <v>■</v>
      </c>
      <c r="G50" s="4" t="s">
        <v>342</v>
      </c>
      <c r="H50" s="4"/>
      <c r="I50" s="4"/>
      <c r="J50" s="4"/>
      <c r="K50" s="4"/>
      <c r="L50" s="4" t="s">
        <v>2552</v>
      </c>
      <c r="M50" s="4">
        <v>13</v>
      </c>
      <c r="N50" s="4">
        <v>38532</v>
      </c>
      <c r="O50" s="4">
        <v>34948</v>
      </c>
      <c r="P50" s="4" t="s">
        <v>343</v>
      </c>
      <c r="Q50" s="4" t="s">
        <v>344</v>
      </c>
    </row>
    <row r="51" spans="1:17">
      <c r="A51" s="4" t="s">
        <v>345</v>
      </c>
      <c r="B51" s="4">
        <v>56643</v>
      </c>
      <c r="C51" s="4" t="s">
        <v>340</v>
      </c>
      <c r="D51" s="4" t="s">
        <v>295</v>
      </c>
      <c r="E51" s="4" t="s">
        <v>346</v>
      </c>
      <c r="F51" s="6" t="str">
        <f>HYPERLINK("https://stat100.ameba.jp/tnk47/ratio20/illustrations/card/ill_56643_irumineshommyorinni03.jpg", "■")</f>
        <v>■</v>
      </c>
      <c r="G51" s="4" t="s">
        <v>347</v>
      </c>
      <c r="L51" s="4" t="s">
        <v>2553</v>
      </c>
      <c r="M51" s="4">
        <v>13</v>
      </c>
      <c r="N51" s="4">
        <v>34948</v>
      </c>
      <c r="O51" s="4">
        <v>38532</v>
      </c>
      <c r="P51" s="4" t="s">
        <v>348</v>
      </c>
      <c r="Q51" s="4" t="s">
        <v>349</v>
      </c>
    </row>
    <row r="52" spans="1:17">
      <c r="A52" s="4" t="s">
        <v>350</v>
      </c>
      <c r="B52" s="4">
        <v>57213</v>
      </c>
      <c r="C52" s="4" t="s">
        <v>279</v>
      </c>
      <c r="D52" s="4" t="s">
        <v>216</v>
      </c>
      <c r="E52" s="5" t="s">
        <v>351</v>
      </c>
      <c r="F52" s="6" t="str">
        <f>HYPERLINK("https://stat100.ameba.jp/tnk47/ratio20/illustrations/card/ill_57213_enzerufuisshu03.jpg", "■")</f>
        <v>■</v>
      </c>
      <c r="G52" s="4" t="s">
        <v>352</v>
      </c>
      <c r="L52" s="4" t="s">
        <v>2554</v>
      </c>
      <c r="M52" s="4">
        <v>13</v>
      </c>
      <c r="N52" s="4">
        <v>34948</v>
      </c>
      <c r="O52" s="4">
        <v>38532</v>
      </c>
      <c r="P52" s="4" t="s">
        <v>353</v>
      </c>
      <c r="Q52" s="4" t="s">
        <v>354</v>
      </c>
    </row>
    <row r="55" spans="1:17">
      <c r="A55" s="4" t="s">
        <v>300</v>
      </c>
    </row>
    <row r="56" spans="1:17">
      <c r="A56" s="4" t="s">
        <v>301</v>
      </c>
      <c r="B56" s="4">
        <v>58073</v>
      </c>
      <c r="C56" s="4" t="s">
        <v>266</v>
      </c>
      <c r="D56" s="4" t="s">
        <v>302</v>
      </c>
      <c r="E56" s="4" t="s">
        <v>303</v>
      </c>
      <c r="F56" s="6" t="str">
        <f>HYPERLINK("https://stat100.ameba.jp/tnk47/ratio20/illustrations/card/ill_58073_hammyokui03.jpg", "■")</f>
        <v>■</v>
      </c>
      <c r="G56" s="4" t="s">
        <v>304</v>
      </c>
      <c r="H56" s="4"/>
      <c r="I56" s="4"/>
      <c r="J56" s="4"/>
      <c r="K56" s="4"/>
      <c r="L56" s="4" t="s">
        <v>2545</v>
      </c>
      <c r="M56" s="4">
        <v>13</v>
      </c>
      <c r="N56" s="4">
        <v>34948</v>
      </c>
      <c r="O56" s="4">
        <v>38532</v>
      </c>
      <c r="P56" s="4" t="s">
        <v>305</v>
      </c>
      <c r="Q56" s="4" t="s">
        <v>306</v>
      </c>
    </row>
    <row r="57" spans="1:17">
      <c r="A57" s="4" t="s">
        <v>307</v>
      </c>
      <c r="B57" s="4">
        <v>58153</v>
      </c>
      <c r="C57" s="4" t="s">
        <v>241</v>
      </c>
      <c r="D57" s="4" t="s">
        <v>308</v>
      </c>
      <c r="E57" s="4" t="s">
        <v>309</v>
      </c>
      <c r="F57" s="6" t="str">
        <f>HYPERLINK("https://stat100.ameba.jp/tnk47/ratio20/illustrations/card/ill_58153_himekatchujikoin03.jpg", "■")</f>
        <v>■</v>
      </c>
      <c r="G57" s="4" t="s">
        <v>310</v>
      </c>
      <c r="H57" s="4"/>
      <c r="I57" s="4"/>
      <c r="J57" s="4"/>
      <c r="K57" s="4"/>
      <c r="L57" s="4" t="s">
        <v>2546</v>
      </c>
      <c r="M57" s="4">
        <v>13</v>
      </c>
      <c r="N57" s="4">
        <v>38532</v>
      </c>
      <c r="O57" s="4">
        <v>34948</v>
      </c>
      <c r="P57" s="4" t="s">
        <v>311</v>
      </c>
      <c r="Q57" s="4" t="s">
        <v>312</v>
      </c>
    </row>
    <row r="58" spans="1:17">
      <c r="A58" s="4" t="s">
        <v>313</v>
      </c>
      <c r="B58" s="4">
        <v>58143</v>
      </c>
      <c r="C58" s="4" t="s">
        <v>260</v>
      </c>
      <c r="D58" s="4" t="s">
        <v>308</v>
      </c>
      <c r="E58" s="4" t="s">
        <v>314</v>
      </c>
      <c r="F58" s="6" t="str">
        <f>HYPERLINK("https://stat100.ameba.jp/tnk47/ratio20/illustrations/card/ill_58143_himekatchuchikurinin03.jpg", "■")</f>
        <v>■</v>
      </c>
      <c r="G58" s="4" t="s">
        <v>315</v>
      </c>
      <c r="H58" s="4"/>
      <c r="I58" s="4"/>
      <c r="J58" s="4"/>
      <c r="K58" s="4"/>
      <c r="L58" s="4" t="s">
        <v>2547</v>
      </c>
      <c r="M58" s="4">
        <v>13</v>
      </c>
      <c r="N58" s="4">
        <v>34948</v>
      </c>
      <c r="O58" s="4">
        <v>38532</v>
      </c>
      <c r="P58" s="4" t="s">
        <v>316</v>
      </c>
      <c r="Q58" s="4" t="s">
        <v>317</v>
      </c>
    </row>
    <row r="59" spans="1:17">
      <c r="A59" s="4" t="s">
        <v>318</v>
      </c>
      <c r="B59" s="4">
        <v>57953</v>
      </c>
      <c r="C59" s="4" t="s">
        <v>241</v>
      </c>
      <c r="D59" s="4" t="s">
        <v>248</v>
      </c>
      <c r="E59" s="4" t="s">
        <v>319</v>
      </c>
      <c r="F59" s="6" t="str">
        <f>HYPERLINK("https://stat100.ameba.jp/tnk47/ratio20/illustrations/card/ill_57953_uranaishioribuchan03.jpg", "■")</f>
        <v>■</v>
      </c>
      <c r="G59" s="4" t="s">
        <v>320</v>
      </c>
      <c r="H59" s="4"/>
      <c r="I59" s="4"/>
      <c r="J59" s="4"/>
      <c r="K59" s="4"/>
      <c r="L59" s="4" t="s">
        <v>2548</v>
      </c>
      <c r="M59" s="4">
        <v>13</v>
      </c>
      <c r="N59" s="4">
        <v>38532</v>
      </c>
      <c r="O59" s="4">
        <v>34948</v>
      </c>
      <c r="P59" s="4" t="s">
        <v>321</v>
      </c>
      <c r="Q59" s="4" t="s">
        <v>322</v>
      </c>
    </row>
    <row r="60" spans="1:17">
      <c r="A60" s="4" t="s">
        <v>323</v>
      </c>
      <c r="B60" s="4">
        <v>58213</v>
      </c>
      <c r="C60" s="4" t="s">
        <v>266</v>
      </c>
      <c r="D60" s="4" t="s">
        <v>203</v>
      </c>
      <c r="E60" s="5" t="s">
        <v>324</v>
      </c>
      <c r="F60" s="6" t="str">
        <f>HYPERLINK("https://stat100.ameba.jp/tnk47/ratio20/illustrations/card/ill_58213_wakamatsushizuko03.jpg", "■")</f>
        <v>■</v>
      </c>
      <c r="G60" s="4" t="s">
        <v>325</v>
      </c>
      <c r="L60" s="4" t="s">
        <v>2549</v>
      </c>
      <c r="M60" s="4">
        <v>13</v>
      </c>
      <c r="N60" s="4">
        <v>38532</v>
      </c>
      <c r="O60" s="4">
        <v>34948</v>
      </c>
      <c r="P60" s="4" t="s">
        <v>326</v>
      </c>
      <c r="Q60" s="4" t="s">
        <v>327</v>
      </c>
    </row>
    <row r="62" spans="1:17">
      <c r="A62" s="4" t="s">
        <v>277</v>
      </c>
    </row>
    <row r="63" spans="1:17">
      <c r="A63" s="4" t="s">
        <v>278</v>
      </c>
      <c r="B63" s="4">
        <v>56343</v>
      </c>
      <c r="C63" s="4" t="s">
        <v>279</v>
      </c>
      <c r="D63" s="4" t="s">
        <v>267</v>
      </c>
      <c r="E63" s="4" t="s">
        <v>280</v>
      </c>
      <c r="F63" s="6" t="str">
        <f>HYPERLINK("https://stat100.ameba.jp/tnk47/ratio20/illustrations/card/ill_56343_shijuhachimagaritogenokitsunebi03.jpg", "■")</f>
        <v>■</v>
      </c>
      <c r="G63" s="4" t="s">
        <v>281</v>
      </c>
      <c r="H63" s="4"/>
      <c r="I63" s="4"/>
      <c r="J63" s="4"/>
      <c r="K63" s="4"/>
      <c r="L63" s="4" t="s">
        <v>2541</v>
      </c>
      <c r="M63" s="4">
        <v>13</v>
      </c>
      <c r="N63" s="4">
        <v>38532</v>
      </c>
      <c r="O63" s="4">
        <v>34948</v>
      </c>
      <c r="P63" s="4" t="s">
        <v>282</v>
      </c>
      <c r="Q63" s="4" t="s">
        <v>283</v>
      </c>
    </row>
    <row r="64" spans="1:17">
      <c r="A64" s="4" t="s">
        <v>284</v>
      </c>
      <c r="B64" s="4">
        <v>58993</v>
      </c>
      <c r="C64" s="4" t="s">
        <v>241</v>
      </c>
      <c r="D64" s="4" t="s">
        <v>229</v>
      </c>
      <c r="E64" s="4" t="s">
        <v>285</v>
      </c>
      <c r="F64" s="6" t="str">
        <f>HYPERLINK("https://stat100.ameba.jp/tnk47/ratio20/illustrations/card/ill_58993_momotarozo03.jpg", "■")</f>
        <v>■</v>
      </c>
      <c r="G64" s="4" t="s">
        <v>286</v>
      </c>
      <c r="H64" s="4"/>
      <c r="I64" s="4"/>
      <c r="J64" s="4"/>
      <c r="K64" s="4"/>
      <c r="L64" s="4" t="s">
        <v>2542</v>
      </c>
      <c r="M64" s="4">
        <v>13</v>
      </c>
      <c r="N64" s="4">
        <v>38532</v>
      </c>
      <c r="O64" s="4">
        <v>34948</v>
      </c>
      <c r="P64" s="4" t="s">
        <v>287</v>
      </c>
      <c r="Q64" s="4" t="s">
        <v>288</v>
      </c>
    </row>
    <row r="65" spans="1:17">
      <c r="A65" s="4" t="s">
        <v>289</v>
      </c>
      <c r="B65" s="4">
        <v>59153</v>
      </c>
      <c r="C65" s="4" t="s">
        <v>279</v>
      </c>
      <c r="D65" s="4" t="s">
        <v>272</v>
      </c>
      <c r="E65" s="4" t="s">
        <v>290</v>
      </c>
      <c r="F65" s="6" t="str">
        <f>HYPERLINK("https://stat100.ameba.jp/tnk47/ratio20/illustrations/card/ill_59153_otonanoasobimaejimahisoka03.jpg", "■")</f>
        <v>■</v>
      </c>
      <c r="G65" s="4" t="s">
        <v>291</v>
      </c>
      <c r="H65" s="4"/>
      <c r="I65" s="4"/>
      <c r="J65" s="4"/>
      <c r="K65" s="4"/>
      <c r="L65" s="4" t="s">
        <v>2543</v>
      </c>
      <c r="M65" s="4">
        <v>13</v>
      </c>
      <c r="N65" s="4">
        <v>34948</v>
      </c>
      <c r="O65" s="4">
        <v>38532</v>
      </c>
      <c r="P65" s="4" t="s">
        <v>292</v>
      </c>
      <c r="Q65" s="4" t="s">
        <v>293</v>
      </c>
    </row>
    <row r="66" spans="1:17">
      <c r="A66" s="4" t="s">
        <v>294</v>
      </c>
      <c r="B66" s="4">
        <v>59233</v>
      </c>
      <c r="C66" s="4" t="s">
        <v>279</v>
      </c>
      <c r="D66" s="4" t="s">
        <v>295</v>
      </c>
      <c r="E66" s="5" t="s">
        <v>296</v>
      </c>
      <c r="F66" s="6" t="str">
        <f>HYPERLINK("https://stat100.ameba.jp/tnk47/ratio20/illustrations/card/ill_59233_yamamotoisoroku03.jpg", "■")</f>
        <v>■</v>
      </c>
      <c r="G66" s="4" t="s">
        <v>297</v>
      </c>
      <c r="H66" s="4"/>
      <c r="I66" s="4"/>
      <c r="J66" s="4"/>
      <c r="K66" s="4"/>
      <c r="L66" s="4" t="s">
        <v>2544</v>
      </c>
      <c r="M66" s="4">
        <v>13</v>
      </c>
      <c r="N66" s="4">
        <v>38532</v>
      </c>
      <c r="O66" s="4">
        <v>34948</v>
      </c>
      <c r="P66" s="4" t="s">
        <v>298</v>
      </c>
      <c r="Q66" s="4" t="s">
        <v>299</v>
      </c>
    </row>
    <row r="68" spans="1:17">
      <c r="A68" s="4" t="s">
        <v>253</v>
      </c>
    </row>
    <row r="69" spans="1:17">
      <c r="A69" s="4" t="s">
        <v>254</v>
      </c>
      <c r="B69" s="4">
        <v>59563</v>
      </c>
      <c r="C69" s="4" t="s">
        <v>234</v>
      </c>
      <c r="D69" s="4" t="s">
        <v>242</v>
      </c>
      <c r="E69" s="4" t="s">
        <v>255</v>
      </c>
      <c r="F69" s="6" t="str">
        <f>HYPERLINK("https://stat100.ameba.jp/tnk47/ratio20/illustrations/card/ill_59563_shimogamojinjanonagashibina03.jpg", "■")</f>
        <v>■</v>
      </c>
      <c r="G69" s="4" t="s">
        <v>256</v>
      </c>
      <c r="H69" s="4"/>
      <c r="I69" s="4"/>
      <c r="J69" s="4"/>
      <c r="K69" s="4"/>
      <c r="L69" s="4" t="s">
        <v>2538</v>
      </c>
      <c r="M69" s="4">
        <v>13</v>
      </c>
      <c r="N69" s="4">
        <v>34948</v>
      </c>
      <c r="O69" s="4">
        <v>38532</v>
      </c>
      <c r="P69" s="4" t="s">
        <v>257</v>
      </c>
      <c r="Q69" s="4" t="s">
        <v>258</v>
      </c>
    </row>
    <row r="70" spans="1:17">
      <c r="A70" s="4" t="s">
        <v>259</v>
      </c>
      <c r="B70" s="4">
        <v>59793</v>
      </c>
      <c r="C70" s="4" t="s">
        <v>260</v>
      </c>
      <c r="D70" s="4" t="s">
        <v>248</v>
      </c>
      <c r="E70" s="4" t="s">
        <v>261</v>
      </c>
      <c r="F70" s="6" t="str">
        <f>HYPERLINK("https://stat100.ameba.jp/tnk47/ratio20/illustrations/card/ill_59793_rengehanichan03.jpg", "■")</f>
        <v>■</v>
      </c>
      <c r="G70" s="4" t="s">
        <v>262</v>
      </c>
      <c r="H70" s="4"/>
      <c r="I70" s="4"/>
      <c r="J70" s="4"/>
      <c r="K70" s="4"/>
      <c r="L70" s="4" t="s">
        <v>2539</v>
      </c>
      <c r="M70" s="4">
        <v>13</v>
      </c>
      <c r="N70" s="4">
        <v>34948</v>
      </c>
      <c r="O70" s="4">
        <v>38532</v>
      </c>
      <c r="P70" s="4" t="s">
        <v>263</v>
      </c>
      <c r="Q70" s="4" t="s">
        <v>264</v>
      </c>
    </row>
    <row r="71" spans="1:17">
      <c r="A71" s="4" t="s">
        <v>265</v>
      </c>
      <c r="B71" s="4">
        <v>59973</v>
      </c>
      <c r="C71" s="4" t="s">
        <v>266</v>
      </c>
      <c r="D71" s="4" t="s">
        <v>267</v>
      </c>
      <c r="E71" s="4" t="s">
        <v>268</v>
      </c>
      <c r="F71" s="6" t="str">
        <f>HYPERLINK("https://stat100.ameba.jp/tnk47/ratio20/illustrations/card/ill_59973_hantasokuroinari03.jpg", "■")</f>
        <v>■</v>
      </c>
      <c r="G71" s="4" t="s">
        <v>269</v>
      </c>
      <c r="H71" s="4"/>
      <c r="I71" s="4"/>
      <c r="J71" s="4"/>
      <c r="K71" s="4"/>
      <c r="L71" s="4" t="s">
        <v>2540</v>
      </c>
      <c r="M71" s="4">
        <v>13</v>
      </c>
      <c r="N71" s="4">
        <v>34948</v>
      </c>
      <c r="O71" s="4">
        <v>38532</v>
      </c>
      <c r="P71" s="4" t="s">
        <v>270</v>
      </c>
      <c r="Q71" s="4" t="s">
        <v>151</v>
      </c>
    </row>
    <row r="72" spans="1:17">
      <c r="A72" s="4" t="s">
        <v>271</v>
      </c>
      <c r="B72" s="4">
        <v>60063</v>
      </c>
      <c r="C72" s="4" t="s">
        <v>215</v>
      </c>
      <c r="D72" s="4" t="s">
        <v>272</v>
      </c>
      <c r="E72" s="4" t="s">
        <v>273</v>
      </c>
      <c r="F72" s="6" t="str">
        <f>HYPERLINK("https://stat100.ameba.jp/tnk47/ratio20/illustrations/card/ill_60063_aressandorobuarinyano03.jpg", "■")</f>
        <v>■</v>
      </c>
      <c r="G72" s="4" t="s">
        <v>274</v>
      </c>
      <c r="H72" s="4"/>
      <c r="I72" s="4"/>
      <c r="J72" s="4"/>
      <c r="K72" s="4"/>
      <c r="L72" s="4" t="s">
        <v>2538</v>
      </c>
      <c r="M72" s="4">
        <v>13</v>
      </c>
      <c r="N72" s="4">
        <v>38532</v>
      </c>
      <c r="O72" s="4">
        <v>34948</v>
      </c>
      <c r="P72" s="4" t="s">
        <v>275</v>
      </c>
      <c r="Q72" s="4" t="s">
        <v>276</v>
      </c>
    </row>
    <row r="74" spans="1:17">
      <c r="A74" s="4" t="s">
        <v>226</v>
      </c>
    </row>
    <row r="75" spans="1:17">
      <c r="A75" s="4" t="s">
        <v>227</v>
      </c>
      <c r="B75" s="4">
        <v>61283</v>
      </c>
      <c r="C75" s="4" t="s">
        <v>228</v>
      </c>
      <c r="D75" s="4" t="s">
        <v>229</v>
      </c>
      <c r="E75" s="4" t="s">
        <v>230</v>
      </c>
      <c r="F75" s="6" t="str">
        <f>HYPERLINK("https://stat100.ameba.jp/tnk47/ratio20/illustrations/card/ill_61283_kagero03.jpg", "■")</f>
        <v>■</v>
      </c>
      <c r="G75" s="4" t="s">
        <v>231</v>
      </c>
      <c r="H75" s="4"/>
      <c r="I75" s="4"/>
      <c r="J75" s="4"/>
      <c r="K75" s="4"/>
      <c r="L75" s="4" t="s">
        <v>2534</v>
      </c>
      <c r="M75" s="4">
        <v>13</v>
      </c>
      <c r="N75" s="4">
        <v>38532</v>
      </c>
      <c r="O75" s="4">
        <v>34948</v>
      </c>
      <c r="P75" s="4" t="s">
        <v>232</v>
      </c>
      <c r="Q75" s="4" t="s">
        <v>156</v>
      </c>
    </row>
    <row r="76" spans="1:17">
      <c r="A76" s="4" t="s">
        <v>233</v>
      </c>
      <c r="B76" s="4">
        <v>60753</v>
      </c>
      <c r="C76" s="4" t="s">
        <v>234</v>
      </c>
      <c r="D76" s="4" t="s">
        <v>235</v>
      </c>
      <c r="E76" s="4" t="s">
        <v>236</v>
      </c>
      <c r="F76" s="6" t="str">
        <f>HYPERLINK("https://stat100.ameba.jp/tnk47/ratio20/illustrations/card/ill_60753_tairanomunemori03.jpg", "■")</f>
        <v>■</v>
      </c>
      <c r="G76" s="4" t="s">
        <v>237</v>
      </c>
      <c r="H76" s="4"/>
      <c r="I76" s="4"/>
      <c r="J76" s="4"/>
      <c r="K76" s="4"/>
      <c r="L76" s="4" t="s">
        <v>2535</v>
      </c>
      <c r="M76" s="4">
        <v>13</v>
      </c>
      <c r="N76" s="4">
        <v>34948</v>
      </c>
      <c r="O76" s="4">
        <v>38532</v>
      </c>
      <c r="P76" s="4" t="s">
        <v>238</v>
      </c>
      <c r="Q76" s="4" t="s">
        <v>239</v>
      </c>
    </row>
    <row r="77" spans="1:17">
      <c r="A77" s="4" t="s">
        <v>240</v>
      </c>
      <c r="B77" s="4">
        <v>60913</v>
      </c>
      <c r="C77" s="4" t="s">
        <v>241</v>
      </c>
      <c r="D77" s="4" t="s">
        <v>242</v>
      </c>
      <c r="E77" s="4" t="s">
        <v>243</v>
      </c>
      <c r="F77" s="6" t="str">
        <f>HYPERLINK("https://stat100.ameba.jp/tnk47/ratio20/illustrations/card/ill_60913_sukurugaruyagamihime03.jpg", "■")</f>
        <v>■</v>
      </c>
      <c r="G77" s="4" t="s">
        <v>244</v>
      </c>
      <c r="H77" s="4"/>
      <c r="I77" s="4"/>
      <c r="J77" s="4"/>
      <c r="K77" s="4"/>
      <c r="L77" s="4" t="s">
        <v>2536</v>
      </c>
      <c r="M77" s="4">
        <v>13</v>
      </c>
      <c r="N77" s="4">
        <v>38532</v>
      </c>
      <c r="O77" s="4">
        <v>34948</v>
      </c>
      <c r="P77" s="4" t="s">
        <v>245</v>
      </c>
      <c r="Q77" s="4" t="s">
        <v>246</v>
      </c>
    </row>
    <row r="78" spans="1:17">
      <c r="A78" s="4" t="s">
        <v>247</v>
      </c>
      <c r="B78" s="4">
        <v>61383</v>
      </c>
      <c r="C78" s="4" t="s">
        <v>241</v>
      </c>
      <c r="D78" s="4" t="s">
        <v>248</v>
      </c>
      <c r="E78" s="4" t="s">
        <v>249</v>
      </c>
      <c r="F78" s="6" t="str">
        <f>HYPERLINK("https://stat100.ameba.jp/tnk47/ratio20/illustrations/card/ill_61383_oiripafuechan03.jpg", "■")</f>
        <v>■</v>
      </c>
      <c r="G78" s="4" t="s">
        <v>250</v>
      </c>
      <c r="H78" s="4"/>
      <c r="I78" s="4"/>
      <c r="J78" s="4"/>
      <c r="K78" s="4"/>
      <c r="L78" s="4" t="s">
        <v>2537</v>
      </c>
      <c r="M78" s="4">
        <v>13</v>
      </c>
      <c r="N78" s="4">
        <v>38532</v>
      </c>
      <c r="O78" s="4">
        <v>34948</v>
      </c>
      <c r="P78" s="4" t="s">
        <v>251</v>
      </c>
      <c r="Q78" s="4" t="s">
        <v>252</v>
      </c>
    </row>
    <row r="80" spans="1:17">
      <c r="A80" s="4" t="s">
        <v>200</v>
      </c>
      <c r="H80" s="4"/>
      <c r="I80" s="4"/>
      <c r="J80" s="4"/>
      <c r="K80" s="4"/>
      <c r="L80" s="4"/>
    </row>
    <row r="81" spans="1:17">
      <c r="A81" s="4" t="s">
        <v>201</v>
      </c>
      <c r="B81" s="4">
        <v>61783</v>
      </c>
      <c r="C81" s="4" t="s">
        <v>202</v>
      </c>
      <c r="D81" s="4" t="s">
        <v>203</v>
      </c>
      <c r="E81" s="4" t="s">
        <v>204</v>
      </c>
      <c r="F81" s="6" t="str">
        <f>HYPERLINK("https://stat100.ameba.jp/tnk47/ratio20/illustrations/card/ill_61783_yoshiokayayoi03.jpg", "■")</f>
        <v>■</v>
      </c>
      <c r="G81" s="4" t="s">
        <v>205</v>
      </c>
      <c r="H81" s="4"/>
      <c r="I81" s="4"/>
      <c r="J81" s="4"/>
      <c r="K81" s="4"/>
      <c r="L81" s="4" t="s">
        <v>2530</v>
      </c>
      <c r="M81" s="4">
        <v>13</v>
      </c>
      <c r="N81" s="4">
        <v>38532</v>
      </c>
      <c r="O81" s="4">
        <v>34948</v>
      </c>
      <c r="P81" s="4" t="s">
        <v>206</v>
      </c>
      <c r="Q81" s="4" t="s">
        <v>207</v>
      </c>
    </row>
    <row r="82" spans="1:17">
      <c r="A82" s="4" t="s">
        <v>208</v>
      </c>
      <c r="B82" s="4">
        <v>62063</v>
      </c>
      <c r="C82" s="4" t="s">
        <v>202</v>
      </c>
      <c r="D82" s="4" t="s">
        <v>209</v>
      </c>
      <c r="E82" s="4" t="s">
        <v>210</v>
      </c>
      <c r="F82" s="6" t="str">
        <f>HYPERLINK("https://stat100.ameba.jp/tnk47/ratio20/illustrations/card/ill_62063_soshishainokuchiakuri03.jpg", "■")</f>
        <v>■</v>
      </c>
      <c r="G82" s="4" t="s">
        <v>211</v>
      </c>
      <c r="H82" s="4"/>
      <c r="I82" s="4"/>
      <c r="J82" s="4"/>
      <c r="K82" s="4"/>
      <c r="L82" s="4" t="s">
        <v>2531</v>
      </c>
      <c r="M82" s="4">
        <v>13</v>
      </c>
      <c r="N82" s="4">
        <v>34948</v>
      </c>
      <c r="O82" s="4">
        <v>38532</v>
      </c>
      <c r="P82" s="4" t="s">
        <v>212</v>
      </c>
      <c r="Q82" s="4" t="s">
        <v>213</v>
      </c>
    </row>
    <row r="83" spans="1:17">
      <c r="A83" s="4" t="s">
        <v>214</v>
      </c>
      <c r="B83" s="4">
        <v>62123</v>
      </c>
      <c r="C83" s="4" t="s">
        <v>215</v>
      </c>
      <c r="D83" s="4" t="s">
        <v>216</v>
      </c>
      <c r="E83" s="4" t="s">
        <v>217</v>
      </c>
      <c r="F83" s="6" t="str">
        <f>HYPERLINK("https://stat100.ameba.jp/tnk47/ratio20/illustrations/card/ill_62123_pikunikkusatsuki03.jpg", "■")</f>
        <v>■</v>
      </c>
      <c r="G83" s="4" t="s">
        <v>218</v>
      </c>
      <c r="H83" s="4"/>
      <c r="I83" s="4"/>
      <c r="J83" s="4"/>
      <c r="K83" s="4"/>
      <c r="L83" s="4" t="s">
        <v>2532</v>
      </c>
      <c r="M83" s="4">
        <v>13</v>
      </c>
      <c r="N83" s="4">
        <v>38532</v>
      </c>
      <c r="O83" s="4">
        <v>34948</v>
      </c>
      <c r="P83" s="4" t="s">
        <v>219</v>
      </c>
      <c r="Q83" s="4" t="s">
        <v>156</v>
      </c>
    </row>
    <row r="84" spans="1:17">
      <c r="A84" s="4" t="s">
        <v>220</v>
      </c>
      <c r="B84" s="4">
        <v>62263</v>
      </c>
      <c r="C84" s="4" t="s">
        <v>202</v>
      </c>
      <c r="D84" s="4" t="s">
        <v>221</v>
      </c>
      <c r="E84" s="4" t="s">
        <v>222</v>
      </c>
      <c r="F84" s="6" t="str">
        <f>HYPERLINK("https://stat100.ameba.jp/tnk47/ratio20/illustrations/card/ill_62263_gogatsubyobakenekoyujo03.jpg", "■")</f>
        <v>■</v>
      </c>
      <c r="G84" s="4" t="s">
        <v>223</v>
      </c>
      <c r="H84" s="4"/>
      <c r="I84" s="4"/>
      <c r="J84" s="4"/>
      <c r="K84" s="4"/>
      <c r="L84" s="4" t="s">
        <v>2533</v>
      </c>
      <c r="M84" s="4">
        <v>13</v>
      </c>
      <c r="N84" s="4">
        <v>38532</v>
      </c>
      <c r="O84" s="4">
        <v>34948</v>
      </c>
      <c r="P84" s="4" t="s">
        <v>224</v>
      </c>
      <c r="Q84" s="4" t="s">
        <v>225</v>
      </c>
    </row>
    <row r="85" spans="1:17" s="48" customFormat="1">
      <c r="F85" s="25"/>
    </row>
    <row r="86" spans="1:17">
      <c r="A86" s="4" t="s">
        <v>182</v>
      </c>
      <c r="H86" s="4"/>
      <c r="I86" s="4"/>
      <c r="J86" s="4"/>
      <c r="K86" s="4"/>
      <c r="L86" s="4"/>
    </row>
    <row r="87" spans="1:17">
      <c r="A87" s="4" t="s">
        <v>183</v>
      </c>
      <c r="B87" s="4">
        <v>63093</v>
      </c>
      <c r="C87" s="4" t="s">
        <v>123</v>
      </c>
      <c r="D87" s="4" t="s">
        <v>68</v>
      </c>
      <c r="E87" s="4" t="s">
        <v>184</v>
      </c>
      <c r="F87" s="6" t="str">
        <f>HYPERLINK("https://stat100.ameba.jp/tnk47/ratio20/illustrations/card/ill_63093_iyahime03.jpg", "■")</f>
        <v>■</v>
      </c>
      <c r="G87" s="4" t="s">
        <v>185</v>
      </c>
      <c r="H87" s="4"/>
      <c r="I87" s="4"/>
      <c r="J87" s="4"/>
      <c r="K87" s="4"/>
      <c r="L87" s="4" t="s">
        <v>2526</v>
      </c>
      <c r="M87" s="4">
        <v>13</v>
      </c>
      <c r="N87" s="4">
        <v>34948</v>
      </c>
      <c r="O87" s="4">
        <v>38532</v>
      </c>
      <c r="P87" s="4" t="s">
        <v>186</v>
      </c>
      <c r="Q87" s="4" t="s">
        <v>317</v>
      </c>
    </row>
    <row r="88" spans="1:17">
      <c r="A88" s="4" t="s">
        <v>187</v>
      </c>
      <c r="B88" s="4">
        <v>63313</v>
      </c>
      <c r="C88" s="4" t="s">
        <v>117</v>
      </c>
      <c r="D88" s="4" t="s">
        <v>79</v>
      </c>
      <c r="E88" s="4" t="s">
        <v>188</v>
      </c>
      <c r="F88" s="6" t="str">
        <f>HYPERLINK("https://stat100.ameba.jp/tnk47/ratio20/illustrations/card/ill_63313_hashimotochutaro03.jpg", "■")</f>
        <v>■</v>
      </c>
      <c r="G88" s="4" t="s">
        <v>189</v>
      </c>
      <c r="H88" s="4"/>
      <c r="I88" s="4"/>
      <c r="J88" s="4"/>
      <c r="K88" s="4"/>
      <c r="L88" s="4" t="s">
        <v>2527</v>
      </c>
      <c r="M88" s="4">
        <v>13</v>
      </c>
      <c r="N88" s="4">
        <v>34948</v>
      </c>
      <c r="O88" s="4">
        <v>38532</v>
      </c>
      <c r="P88" s="4" t="s">
        <v>190</v>
      </c>
      <c r="Q88" s="4" t="s">
        <v>2413</v>
      </c>
    </row>
    <row r="89" spans="1:17">
      <c r="A89" s="4" t="s">
        <v>191</v>
      </c>
      <c r="B89" s="4">
        <v>63353</v>
      </c>
      <c r="C89" s="4" t="s">
        <v>117</v>
      </c>
      <c r="D89" s="4" t="s">
        <v>107</v>
      </c>
      <c r="E89" s="4" t="s">
        <v>192</v>
      </c>
      <c r="F89" s="6" t="str">
        <f>HYPERLINK("https://stat100.ameba.jp/tnk47/ratio20/illustrations/card/ill_63353_tsukikagenatadekoko03.jpg", "■")</f>
        <v>■</v>
      </c>
      <c r="G89" s="4" t="s">
        <v>193</v>
      </c>
      <c r="H89" s="4"/>
      <c r="I89" s="4"/>
      <c r="J89" s="4"/>
      <c r="K89" s="4"/>
      <c r="L89" s="4" t="s">
        <v>2528</v>
      </c>
      <c r="M89" s="4">
        <v>13</v>
      </c>
      <c r="N89" s="4">
        <v>34948</v>
      </c>
      <c r="O89" s="4">
        <v>38532</v>
      </c>
      <c r="P89" s="4" t="s">
        <v>194</v>
      </c>
      <c r="Q89" s="4" t="s">
        <v>168</v>
      </c>
    </row>
    <row r="90" spans="1:17">
      <c r="A90" s="4" t="s">
        <v>195</v>
      </c>
      <c r="B90" s="4">
        <v>63373</v>
      </c>
      <c r="C90" s="4" t="s">
        <v>112</v>
      </c>
      <c r="D90" s="4" t="s">
        <v>196</v>
      </c>
      <c r="E90" s="4" t="s">
        <v>197</v>
      </c>
      <c r="F90" s="6" t="str">
        <f>HYPERLINK("https://stat100.ameba.jp/tnk47/ratio20/illustrations/card/ill_63373_murasameameomba03.jpg", "■")</f>
        <v>■</v>
      </c>
      <c r="G90" s="4" t="s">
        <v>198</v>
      </c>
      <c r="H90" s="4"/>
      <c r="I90" s="4"/>
      <c r="J90" s="4"/>
      <c r="K90" s="4"/>
      <c r="L90" s="4" t="s">
        <v>2529</v>
      </c>
      <c r="M90" s="4">
        <v>13</v>
      </c>
      <c r="N90" s="4">
        <v>38532</v>
      </c>
      <c r="O90" s="4">
        <v>34948</v>
      </c>
      <c r="P90" s="4" t="s">
        <v>199</v>
      </c>
      <c r="Q90" s="4" t="s">
        <v>225</v>
      </c>
    </row>
    <row r="92" spans="1:17" s="87" customFormat="1">
      <c r="H92" s="7"/>
      <c r="I92" s="7"/>
      <c r="J92" s="7"/>
      <c r="K92" s="7"/>
      <c r="L92" s="7"/>
    </row>
    <row r="93" spans="1:17">
      <c r="A93" s="4" t="s">
        <v>163</v>
      </c>
      <c r="H93" s="4"/>
      <c r="I93" s="4"/>
      <c r="J93" s="4"/>
      <c r="K93" s="4"/>
      <c r="L93" s="4"/>
    </row>
    <row r="94" spans="1:17">
      <c r="A94" s="4" t="s">
        <v>164</v>
      </c>
      <c r="B94" s="4">
        <v>63763</v>
      </c>
      <c r="C94" s="4" t="s">
        <v>117</v>
      </c>
      <c r="D94" s="4" t="s">
        <v>107</v>
      </c>
      <c r="E94" s="4" t="s">
        <v>165</v>
      </c>
      <c r="F94" s="6" t="str">
        <f>HYPERLINK("https://stat100.ameba.jp/tnk47/ratio20/illustrations/card/ill_63763_indeiankare03.jpg", "■")</f>
        <v>■</v>
      </c>
      <c r="G94" s="4" t="s">
        <v>166</v>
      </c>
      <c r="H94" s="4"/>
      <c r="I94" s="4"/>
      <c r="J94" s="4"/>
      <c r="K94" s="4"/>
      <c r="L94" s="4" t="s">
        <v>2522</v>
      </c>
      <c r="M94" s="4">
        <v>13</v>
      </c>
      <c r="N94" s="4">
        <v>34948</v>
      </c>
      <c r="O94" s="4">
        <v>38532</v>
      </c>
      <c r="P94" s="4" t="s">
        <v>167</v>
      </c>
      <c r="Q94" s="4" t="s">
        <v>168</v>
      </c>
    </row>
    <row r="95" spans="1:17">
      <c r="A95" s="4" t="s">
        <v>169</v>
      </c>
      <c r="B95" s="4">
        <v>64103</v>
      </c>
      <c r="C95" s="4" t="s">
        <v>112</v>
      </c>
      <c r="D95" s="4" t="s">
        <v>132</v>
      </c>
      <c r="E95" s="4" t="s">
        <v>170</v>
      </c>
      <c r="F95" s="6" t="str">
        <f>HYPERLINK("https://stat100.ameba.jp/tnk47/ratio20/illustrations/card/ill_64103_suihahyoha03.jpg", "■")</f>
        <v>■</v>
      </c>
      <c r="G95" s="4" t="s">
        <v>171</v>
      </c>
      <c r="H95" s="4"/>
      <c r="I95" s="4"/>
      <c r="J95" s="4"/>
      <c r="K95" s="4"/>
      <c r="L95" s="4" t="s">
        <v>2523</v>
      </c>
      <c r="M95" s="4">
        <v>13</v>
      </c>
      <c r="N95" s="4">
        <v>38532</v>
      </c>
      <c r="O95" s="4">
        <v>34948</v>
      </c>
      <c r="P95" s="4" t="s">
        <v>172</v>
      </c>
      <c r="Q95" s="4" t="s">
        <v>173</v>
      </c>
    </row>
    <row r="96" spans="1:17">
      <c r="A96" s="4" t="s">
        <v>174</v>
      </c>
      <c r="B96" s="4">
        <v>64243</v>
      </c>
      <c r="C96" s="4" t="s">
        <v>100</v>
      </c>
      <c r="D96" s="4" t="s">
        <v>89</v>
      </c>
      <c r="E96" s="4" t="s">
        <v>175</v>
      </c>
      <c r="F96" s="6" t="str">
        <f>HYPERLINK("https://stat100.ameba.jp/tnk47/ratio20/illustrations/card/ill_64243_machingubandokanekomisuzu03.jpg", "■")</f>
        <v>■</v>
      </c>
      <c r="G96" s="4" t="s">
        <v>176</v>
      </c>
      <c r="H96" s="4"/>
      <c r="I96" s="4"/>
      <c r="J96" s="4"/>
      <c r="K96" s="4"/>
      <c r="L96" s="4" t="s">
        <v>2524</v>
      </c>
      <c r="M96" s="4">
        <v>13</v>
      </c>
      <c r="N96" s="4">
        <v>38532</v>
      </c>
      <c r="O96" s="4">
        <v>34948</v>
      </c>
      <c r="P96" s="4" t="s">
        <v>177</v>
      </c>
      <c r="Q96" s="4" t="s">
        <v>146</v>
      </c>
    </row>
    <row r="97" spans="1:17">
      <c r="A97" s="4" t="s">
        <v>178</v>
      </c>
      <c r="B97" s="4">
        <v>64333</v>
      </c>
      <c r="C97" s="4" t="s">
        <v>123</v>
      </c>
      <c r="D97" s="4" t="s">
        <v>101</v>
      </c>
      <c r="E97" s="4" t="s">
        <v>179</v>
      </c>
      <c r="F97" s="6" t="str">
        <f>HYPERLINK("https://stat100.ameba.jp/tnk47/ratio20/illustrations/card/ill_64333_taishakukurigekatokiyomasa03.jpg", "■")</f>
        <v>■</v>
      </c>
      <c r="G97" s="4" t="s">
        <v>180</v>
      </c>
      <c r="H97" s="4"/>
      <c r="I97" s="4"/>
      <c r="J97" s="4"/>
      <c r="K97" s="4"/>
      <c r="L97" s="4" t="s">
        <v>2525</v>
      </c>
      <c r="M97" s="4">
        <v>13</v>
      </c>
      <c r="N97" s="4">
        <v>34948</v>
      </c>
      <c r="O97" s="4">
        <v>38532</v>
      </c>
      <c r="P97" s="4" t="s">
        <v>181</v>
      </c>
      <c r="Q97" s="4" t="s">
        <v>349</v>
      </c>
    </row>
    <row r="99" spans="1:17">
      <c r="A99" s="4" t="s">
        <v>141</v>
      </c>
      <c r="H99" s="4"/>
      <c r="I99" s="4"/>
      <c r="J99" s="4"/>
      <c r="K99" s="4"/>
      <c r="L99" s="4"/>
    </row>
    <row r="100" spans="1:17">
      <c r="A100" s="4" t="s">
        <v>142</v>
      </c>
      <c r="B100" s="4">
        <v>64733</v>
      </c>
      <c r="C100" s="4" t="s">
        <v>106</v>
      </c>
      <c r="D100" s="4" t="s">
        <v>89</v>
      </c>
      <c r="E100" s="5" t="s">
        <v>143</v>
      </c>
      <c r="F100" s="6" t="str">
        <f>HYPERLINK("https://stat100.ameba.jp/tnk47/ratio20/illustrations/card/ill_64733_okochimasatoshi03.jpg", "■")</f>
        <v>■</v>
      </c>
      <c r="G100" s="4" t="s">
        <v>144</v>
      </c>
      <c r="H100" s="4"/>
      <c r="I100" s="4"/>
      <c r="J100" s="4"/>
      <c r="K100" s="4"/>
      <c r="L100" s="4" t="s">
        <v>2518</v>
      </c>
      <c r="M100" s="4">
        <v>13</v>
      </c>
      <c r="N100" s="4">
        <v>38532</v>
      </c>
      <c r="O100" s="4">
        <v>34948</v>
      </c>
      <c r="P100" s="4" t="s">
        <v>145</v>
      </c>
      <c r="Q100" s="4" t="s">
        <v>146</v>
      </c>
    </row>
    <row r="101" spans="1:17">
      <c r="A101" s="4" t="s">
        <v>147</v>
      </c>
      <c r="B101" s="4">
        <v>55613</v>
      </c>
      <c r="C101" s="4" t="s">
        <v>112</v>
      </c>
      <c r="D101" s="4" t="s">
        <v>63</v>
      </c>
      <c r="E101" s="5" t="s">
        <v>148</v>
      </c>
      <c r="F101" s="6" t="str">
        <f>HYPERLINK("https://stat100.ameba.jp/tnk47/ratio20/illustrations/card/ill_55613_tateyama03.jpg", "■")</f>
        <v>■</v>
      </c>
      <c r="G101" s="4" t="s">
        <v>149</v>
      </c>
      <c r="H101" s="4"/>
      <c r="I101" s="4"/>
      <c r="J101" s="4"/>
      <c r="K101" s="4"/>
      <c r="L101" s="4" t="s">
        <v>2519</v>
      </c>
      <c r="M101" s="4">
        <v>13</v>
      </c>
      <c r="N101" s="4">
        <v>34948</v>
      </c>
      <c r="O101" s="4">
        <v>38532</v>
      </c>
      <c r="P101" s="4" t="s">
        <v>150</v>
      </c>
      <c r="Q101" s="4" t="s">
        <v>151</v>
      </c>
    </row>
    <row r="102" spans="1:17">
      <c r="A102" s="4" t="s">
        <v>152</v>
      </c>
      <c r="B102" s="4">
        <v>65143</v>
      </c>
      <c r="C102" s="4" t="s">
        <v>123</v>
      </c>
      <c r="D102" s="4" t="s">
        <v>84</v>
      </c>
      <c r="E102" s="5" t="s">
        <v>153</v>
      </c>
      <c r="F102" s="6" t="str">
        <f>HYPERLINK("https://stat100.ameba.jp/tnk47/ratio20/illustrations/card/ill_65143_kimodameshihorakumanomichan03.jpg", "■")</f>
        <v>■</v>
      </c>
      <c r="G102" s="4" t="s">
        <v>154</v>
      </c>
      <c r="H102" s="4"/>
      <c r="I102" s="4"/>
      <c r="J102" s="4"/>
      <c r="K102" s="4"/>
      <c r="L102" s="4" t="s">
        <v>2520</v>
      </c>
      <c r="M102" s="4">
        <v>13</v>
      </c>
      <c r="N102" s="4">
        <v>38532</v>
      </c>
      <c r="O102" s="4">
        <v>34948</v>
      </c>
      <c r="P102" s="4" t="s">
        <v>155</v>
      </c>
      <c r="Q102" s="4" t="s">
        <v>156</v>
      </c>
    </row>
    <row r="103" spans="1:17">
      <c r="A103" s="4" t="s">
        <v>157</v>
      </c>
      <c r="B103" s="4">
        <v>65273</v>
      </c>
      <c r="C103" s="4" t="s">
        <v>158</v>
      </c>
      <c r="D103" s="4" t="s">
        <v>84</v>
      </c>
      <c r="E103" s="5" t="s">
        <v>159</v>
      </c>
      <c r="F103" s="6" t="str">
        <f>HYPERLINK("https://stat100.ameba.jp/tnk47/ratio20/illustrations/card/ill_65273_seakagokegumo03.jpg", "■")</f>
        <v>■</v>
      </c>
      <c r="G103" s="4" t="s">
        <v>160</v>
      </c>
      <c r="H103" s="4"/>
      <c r="I103" s="4"/>
      <c r="J103" s="4"/>
      <c r="K103" s="4"/>
      <c r="L103" s="4" t="s">
        <v>2521</v>
      </c>
      <c r="M103" s="4">
        <v>13</v>
      </c>
      <c r="N103" s="4">
        <v>34948</v>
      </c>
      <c r="O103" s="4">
        <v>38532</v>
      </c>
      <c r="P103" s="4" t="s">
        <v>161</v>
      </c>
      <c r="Q103" s="4" t="s">
        <v>162</v>
      </c>
    </row>
    <row r="105" spans="1:17">
      <c r="A105" s="4" t="s">
        <v>121</v>
      </c>
      <c r="H105" s="4"/>
      <c r="I105" s="4"/>
      <c r="J105" s="4"/>
      <c r="K105" s="4"/>
      <c r="L105" s="4"/>
    </row>
    <row r="106" spans="1:17">
      <c r="A106" s="4" t="s">
        <v>122</v>
      </c>
      <c r="B106" s="4">
        <v>65503</v>
      </c>
      <c r="C106" s="4" t="s">
        <v>123</v>
      </c>
      <c r="D106" s="4" t="s">
        <v>63</v>
      </c>
      <c r="E106" s="5" t="s">
        <v>124</v>
      </c>
      <c r="F106" s="6" t="str">
        <f>HYPERLINK("https://stat100.ameba.jp/tnk47/ratio20/illustrations/card/ill_65503_hinukan03.jpg", "■")</f>
        <v>■</v>
      </c>
      <c r="G106" s="4" t="s">
        <v>125</v>
      </c>
      <c r="H106" s="4"/>
      <c r="I106" s="4"/>
      <c r="J106" s="4"/>
      <c r="K106" s="4"/>
      <c r="L106" s="4" t="s">
        <v>2514</v>
      </c>
      <c r="M106" s="4">
        <v>13</v>
      </c>
      <c r="N106" s="4">
        <v>38532</v>
      </c>
      <c r="O106" s="4">
        <v>34948</v>
      </c>
      <c r="P106" s="4" t="s">
        <v>126</v>
      </c>
      <c r="Q106" s="4" t="s">
        <v>344</v>
      </c>
    </row>
    <row r="107" spans="1:17">
      <c r="A107" s="4" t="s">
        <v>127</v>
      </c>
      <c r="B107" s="4">
        <v>47973</v>
      </c>
      <c r="C107" s="4" t="s">
        <v>117</v>
      </c>
      <c r="D107" s="4" t="s">
        <v>68</v>
      </c>
      <c r="E107" s="5" t="s">
        <v>128</v>
      </c>
      <c r="F107" s="6" t="str">
        <f>HYPERLINK("https://stat100.ameba.jp/tnk47/ratio20/illustrations/card/ill_47973_nekomimihinotomiko03.jpg", "■")</f>
        <v>■</v>
      </c>
      <c r="G107" s="4" t="s">
        <v>129</v>
      </c>
      <c r="H107" s="4"/>
      <c r="I107" s="4"/>
      <c r="J107" s="4"/>
      <c r="K107" s="4"/>
      <c r="L107" s="4" t="s">
        <v>2515</v>
      </c>
      <c r="M107" s="4">
        <v>13</v>
      </c>
      <c r="N107" s="4">
        <v>34948</v>
      </c>
      <c r="O107" s="4">
        <v>38532</v>
      </c>
      <c r="P107" s="4" t="s">
        <v>130</v>
      </c>
      <c r="Q107" s="4" t="s">
        <v>317</v>
      </c>
    </row>
    <row r="108" spans="1:17">
      <c r="A108" s="4" t="s">
        <v>131</v>
      </c>
      <c r="B108" s="4">
        <v>47803</v>
      </c>
      <c r="C108" s="4" t="s">
        <v>106</v>
      </c>
      <c r="D108" s="4" t="s">
        <v>132</v>
      </c>
      <c r="E108" s="5" t="s">
        <v>133</v>
      </c>
      <c r="F108" s="6" t="str">
        <f>HYPERLINK("https://stat100.ameba.jp/tnk47/ratio20/illustrations/card/ill_47803_arabianbegoma03.jpg", "■")</f>
        <v>■</v>
      </c>
      <c r="G108" s="4" t="s">
        <v>134</v>
      </c>
      <c r="H108" s="4"/>
      <c r="I108" s="4"/>
      <c r="J108" s="4"/>
      <c r="K108" s="4"/>
      <c r="L108" s="4" t="s">
        <v>2516</v>
      </c>
      <c r="M108" s="4">
        <v>13</v>
      </c>
      <c r="N108" s="4">
        <v>38532</v>
      </c>
      <c r="O108" s="4">
        <v>34948</v>
      </c>
      <c r="P108" s="4" t="s">
        <v>135</v>
      </c>
      <c r="Q108" s="4" t="s">
        <v>246</v>
      </c>
    </row>
    <row r="109" spans="1:17">
      <c r="A109" s="4" t="s">
        <v>136</v>
      </c>
      <c r="B109" s="4">
        <v>66013</v>
      </c>
      <c r="C109" s="4" t="s">
        <v>123</v>
      </c>
      <c r="D109" s="4" t="s">
        <v>79</v>
      </c>
      <c r="E109" s="5" t="s">
        <v>137</v>
      </c>
      <c r="F109" s="6" t="str">
        <f>HYPERLINK("https://stat100.ameba.jp/tnk47/ratio20/illustrations/card/ill_66013_katomichio03.jpg", "■")</f>
        <v>■</v>
      </c>
      <c r="G109" s="4" t="s">
        <v>138</v>
      </c>
      <c r="H109" s="4"/>
      <c r="I109" s="4"/>
      <c r="J109" s="4"/>
      <c r="K109" s="4"/>
      <c r="L109" s="4" t="s">
        <v>2517</v>
      </c>
      <c r="M109" s="4">
        <v>13</v>
      </c>
      <c r="N109" s="4">
        <v>38532</v>
      </c>
      <c r="O109" s="4">
        <v>34948</v>
      </c>
      <c r="P109" s="4" t="s">
        <v>139</v>
      </c>
      <c r="Q109" s="4" t="s">
        <v>140</v>
      </c>
    </row>
    <row r="111" spans="1:17">
      <c r="A111" s="4" t="s">
        <v>98</v>
      </c>
      <c r="H111" s="4"/>
      <c r="I111" s="4"/>
      <c r="J111" s="4"/>
      <c r="K111" s="4"/>
      <c r="L111" s="4"/>
    </row>
    <row r="112" spans="1:17">
      <c r="A112" s="4" t="s">
        <v>99</v>
      </c>
      <c r="B112" s="4">
        <v>66203</v>
      </c>
      <c r="C112" s="4" t="s">
        <v>100</v>
      </c>
      <c r="D112" s="4" t="s">
        <v>101</v>
      </c>
      <c r="E112" s="5" t="s">
        <v>102</v>
      </c>
      <c r="F112" s="6" t="str">
        <f>HYPERLINK("https://stat100.ameba.jp/tnk47/ratio20/illustrations/card/ill_66203_tsukiyamajinjaouchiyoshitaka03.jpg", "■")</f>
        <v>■</v>
      </c>
      <c r="G112" s="4" t="s">
        <v>103</v>
      </c>
      <c r="L112" s="4" t="s">
        <v>2510</v>
      </c>
      <c r="M112" s="4">
        <v>13</v>
      </c>
      <c r="N112" s="4">
        <v>38532</v>
      </c>
      <c r="O112" s="4">
        <v>34948</v>
      </c>
      <c r="P112" s="4" t="s">
        <v>104</v>
      </c>
      <c r="Q112" s="4" t="s">
        <v>2409</v>
      </c>
    </row>
    <row r="113" spans="1:17">
      <c r="A113" s="4" t="s">
        <v>105</v>
      </c>
      <c r="B113" s="4">
        <v>66553</v>
      </c>
      <c r="C113" s="4" t="s">
        <v>106</v>
      </c>
      <c r="D113" s="4" t="s">
        <v>107</v>
      </c>
      <c r="E113" s="5" t="s">
        <v>108</v>
      </c>
      <c r="F113" s="6" t="str">
        <f>HYPERLINK("https://stat100.ameba.jp/tnk47/ratio20/illustrations/card/ill_66553_inrobentochan03.jpg", "■")</f>
        <v>■</v>
      </c>
      <c r="G113" s="4" t="s">
        <v>109</v>
      </c>
      <c r="L113" s="4" t="s">
        <v>2511</v>
      </c>
      <c r="M113" s="4">
        <v>13</v>
      </c>
      <c r="N113" s="4">
        <v>34948</v>
      </c>
      <c r="O113" s="4">
        <v>38532</v>
      </c>
      <c r="P113" s="4" t="s">
        <v>110</v>
      </c>
      <c r="Q113" s="4" t="s">
        <v>168</v>
      </c>
    </row>
    <row r="114" spans="1:17">
      <c r="A114" s="4" t="s">
        <v>111</v>
      </c>
      <c r="B114" s="4">
        <v>66693</v>
      </c>
      <c r="C114" s="4" t="s">
        <v>112</v>
      </c>
      <c r="D114" s="4" t="s">
        <v>79</v>
      </c>
      <c r="E114" s="5" t="s">
        <v>113</v>
      </c>
      <c r="F114" s="6" t="str">
        <f>HYPERLINK("https://stat100.ameba.jp/tnk47/ratio20/illustrations/card/ill_66693_shogijukeini03.jpg", "■")</f>
        <v>■</v>
      </c>
      <c r="G114" s="4" t="s">
        <v>114</v>
      </c>
      <c r="L114" s="4" t="s">
        <v>2512</v>
      </c>
      <c r="M114" s="4">
        <v>13</v>
      </c>
      <c r="N114" s="4">
        <v>34948</v>
      </c>
      <c r="O114" s="4">
        <v>38532</v>
      </c>
      <c r="P114" s="4" t="s">
        <v>115</v>
      </c>
      <c r="Q114" s="4" t="s">
        <v>2411</v>
      </c>
    </row>
    <row r="115" spans="1:17">
      <c r="A115" s="4" t="s">
        <v>116</v>
      </c>
      <c r="B115" s="4">
        <v>66813</v>
      </c>
      <c r="C115" s="4" t="s">
        <v>117</v>
      </c>
      <c r="D115" s="4" t="s">
        <v>89</v>
      </c>
      <c r="E115" s="5" t="s">
        <v>118</v>
      </c>
      <c r="F115" s="6" t="str">
        <f>HYPERLINK("https://stat100.ameba.jp/tnk47/ratio20/illustrations/card/ill_66813_furutaoribe03.jpg", "■")</f>
        <v>■</v>
      </c>
      <c r="G115" s="4" t="s">
        <v>119</v>
      </c>
      <c r="L115" s="4" t="s">
        <v>2513</v>
      </c>
      <c r="M115" s="4">
        <v>13</v>
      </c>
      <c r="N115" s="4">
        <v>34948</v>
      </c>
      <c r="O115" s="4">
        <v>38532</v>
      </c>
      <c r="P115" s="4" t="s">
        <v>120</v>
      </c>
      <c r="Q115" s="4" t="s">
        <v>2412</v>
      </c>
    </row>
    <row r="117" spans="1:17">
      <c r="A117" s="4" t="s">
        <v>77</v>
      </c>
      <c r="H117" s="4"/>
      <c r="I117" s="4"/>
      <c r="J117" s="4"/>
      <c r="K117" s="4"/>
      <c r="L117" s="4"/>
    </row>
    <row r="118" spans="1:17">
      <c r="A118" s="4" t="s">
        <v>78</v>
      </c>
      <c r="B118" s="4">
        <v>66953</v>
      </c>
      <c r="C118" s="4" t="s">
        <v>14</v>
      </c>
      <c r="D118" s="4" t="s">
        <v>79</v>
      </c>
      <c r="E118" s="5" t="s">
        <v>80</v>
      </c>
      <c r="F118" s="6" t="str">
        <f>HYPERLINK("https://stat100.ameba.jp/tnk47/ratio20/illustrations/card/ill_66953_enomotosumi03.jpg", "■")</f>
        <v>■</v>
      </c>
      <c r="G118" s="4" t="s">
        <v>81</v>
      </c>
      <c r="H118" s="4"/>
      <c r="I118" s="4"/>
      <c r="J118" s="4"/>
      <c r="K118" s="4"/>
      <c r="L118" s="4" t="s">
        <v>2506</v>
      </c>
      <c r="M118" s="4">
        <v>13</v>
      </c>
      <c r="N118" s="4">
        <v>34948</v>
      </c>
      <c r="O118" s="4">
        <v>38532</v>
      </c>
      <c r="P118" s="4" t="s">
        <v>82</v>
      </c>
      <c r="Q118" s="4" t="s">
        <v>2411</v>
      </c>
    </row>
    <row r="119" spans="1:17">
      <c r="A119" s="4" t="s">
        <v>83</v>
      </c>
      <c r="B119" s="4">
        <v>67293</v>
      </c>
      <c r="C119" s="4" t="s">
        <v>26</v>
      </c>
      <c r="D119" s="4" t="s">
        <v>84</v>
      </c>
      <c r="E119" s="5" t="s">
        <v>85</v>
      </c>
      <c r="F119" s="6" t="str">
        <f>HYPERLINK("https://stat100.ameba.jp/tnk47/ratio20/illustrations/card/ill_67293_hokkyokuguma03.jpg", "■")</f>
        <v>■</v>
      </c>
      <c r="G119" s="4" t="s">
        <v>86</v>
      </c>
      <c r="H119" s="4"/>
      <c r="I119" s="4"/>
      <c r="J119" s="4"/>
      <c r="K119" s="4"/>
      <c r="L119" s="4" t="s">
        <v>2507</v>
      </c>
      <c r="M119" s="4">
        <v>13</v>
      </c>
      <c r="N119" s="4">
        <v>38532</v>
      </c>
      <c r="O119" s="4">
        <v>34948</v>
      </c>
      <c r="P119" s="4" t="s">
        <v>87</v>
      </c>
      <c r="Q119" s="4" t="s">
        <v>156</v>
      </c>
    </row>
    <row r="120" spans="1:17">
      <c r="A120" s="4" t="s">
        <v>88</v>
      </c>
      <c r="B120" s="4">
        <v>67433</v>
      </c>
      <c r="C120" s="4" t="s">
        <v>32</v>
      </c>
      <c r="D120" s="4" t="s">
        <v>89</v>
      </c>
      <c r="E120" s="5" t="s">
        <v>90</v>
      </c>
      <c r="F120" s="6" t="str">
        <f>HYPERLINK("https://stat100.ameba.jp/tnk47/ratio20/illustrations/card/ill_67433_yoigokochihiguchiichiyo03.jpg", "■")</f>
        <v>■</v>
      </c>
      <c r="G120" s="4" t="s">
        <v>91</v>
      </c>
      <c r="H120" s="4"/>
      <c r="I120" s="4"/>
      <c r="J120" s="4"/>
      <c r="K120" s="4"/>
      <c r="L120" s="4" t="s">
        <v>2508</v>
      </c>
      <c r="M120" s="4">
        <v>13</v>
      </c>
      <c r="N120" s="4">
        <v>34948</v>
      </c>
      <c r="O120" s="4">
        <v>38532</v>
      </c>
      <c r="P120" s="4" t="s">
        <v>92</v>
      </c>
      <c r="Q120" s="4" t="s">
        <v>2412</v>
      </c>
    </row>
    <row r="121" spans="1:17">
      <c r="A121" s="4" t="s">
        <v>93</v>
      </c>
      <c r="B121" s="4">
        <v>67563</v>
      </c>
      <c r="C121" s="4" t="s">
        <v>94</v>
      </c>
      <c r="D121" s="4" t="s">
        <v>63</v>
      </c>
      <c r="E121" s="5" t="s">
        <v>95</v>
      </c>
      <c r="F121" s="6" t="str">
        <f>HYPERLINK("https://stat100.ameba.jp/tnk47/ratio20/illustrations/card/ill_67563_udonge03.jpg", "■")</f>
        <v>■</v>
      </c>
      <c r="G121" s="4" t="s">
        <v>96</v>
      </c>
      <c r="H121" s="4"/>
      <c r="I121" s="4"/>
      <c r="J121" s="4"/>
      <c r="K121" s="4"/>
      <c r="L121" s="4" t="s">
        <v>2509</v>
      </c>
      <c r="M121" s="4">
        <v>13</v>
      </c>
      <c r="N121" s="4">
        <v>38532</v>
      </c>
      <c r="O121" s="4">
        <v>34948</v>
      </c>
      <c r="P121" s="4" t="s">
        <v>97</v>
      </c>
      <c r="Q121" s="4" t="s">
        <v>344</v>
      </c>
    </row>
    <row r="123" spans="1:17">
      <c r="A123" s="4" t="s">
        <v>57</v>
      </c>
      <c r="H123" s="4"/>
      <c r="I123" s="4"/>
      <c r="J123" s="4"/>
      <c r="K123" s="4"/>
      <c r="L123" s="4"/>
    </row>
    <row r="124" spans="1:17">
      <c r="A124" s="4" t="s">
        <v>58</v>
      </c>
      <c r="B124" s="4">
        <v>67793</v>
      </c>
      <c r="C124" s="4" t="s">
        <v>26</v>
      </c>
      <c r="D124" s="4" t="s">
        <v>43</v>
      </c>
      <c r="E124" s="5" t="s">
        <v>59</v>
      </c>
      <c r="F124" s="6" t="str">
        <f>HYPERLINK("https://stat100.ameba.jp/tnk47/ratio20/illustrations/card/ill_67793_yukioni03.jpg", "■")</f>
        <v>■</v>
      </c>
      <c r="G124" s="4" t="s">
        <v>60</v>
      </c>
      <c r="H124" s="4"/>
      <c r="I124" s="4"/>
      <c r="J124" s="4"/>
      <c r="K124" s="4"/>
      <c r="L124" s="4" t="s">
        <v>2502</v>
      </c>
      <c r="M124" s="4">
        <v>13</v>
      </c>
      <c r="N124" s="4">
        <v>34948</v>
      </c>
      <c r="O124" s="4">
        <v>38532</v>
      </c>
      <c r="P124" s="4" t="s">
        <v>61</v>
      </c>
      <c r="Q124" s="4" t="s">
        <v>258</v>
      </c>
    </row>
    <row r="125" spans="1:17">
      <c r="A125" s="4" t="s">
        <v>62</v>
      </c>
      <c r="B125" s="4">
        <v>68163</v>
      </c>
      <c r="C125" s="4" t="s">
        <v>14</v>
      </c>
      <c r="D125" s="4" t="s">
        <v>63</v>
      </c>
      <c r="E125" s="5" t="s">
        <v>64</v>
      </c>
      <c r="F125" s="6" t="str">
        <f>HYPERLINK("https://stat100.ameba.jp/tnk47/ratio20/illustrations/card/ill_68163_ishikoridome03.jpg", "■")</f>
        <v>■</v>
      </c>
      <c r="G125" s="4" t="s">
        <v>65</v>
      </c>
      <c r="H125" s="4"/>
      <c r="I125" s="4"/>
      <c r="J125" s="4"/>
      <c r="K125" s="4"/>
      <c r="L125" s="4" t="s">
        <v>2503</v>
      </c>
      <c r="M125" s="4">
        <v>13</v>
      </c>
      <c r="N125" s="4">
        <v>34948</v>
      </c>
      <c r="O125" s="4">
        <v>38532</v>
      </c>
      <c r="P125" s="4" t="s">
        <v>66</v>
      </c>
      <c r="Q125" s="4" t="s">
        <v>151</v>
      </c>
    </row>
    <row r="126" spans="1:17">
      <c r="A126" s="4" t="s">
        <v>67</v>
      </c>
      <c r="B126" s="4">
        <v>68293</v>
      </c>
      <c r="C126" s="4" t="s">
        <v>14</v>
      </c>
      <c r="D126" s="4" t="s">
        <v>68</v>
      </c>
      <c r="E126" s="5" t="s">
        <v>69</v>
      </c>
      <c r="F126" s="6" t="str">
        <f>HYPERLINK("https://stat100.ameba.jp/tnk47/ratio20/illustrations/card/ill_68293_shurambonenkaihinotomiko03.jpg", "■")</f>
        <v>■</v>
      </c>
      <c r="G126" s="4" t="s">
        <v>70</v>
      </c>
      <c r="H126" s="4"/>
      <c r="I126" s="4"/>
      <c r="J126" s="4"/>
      <c r="K126" s="4"/>
      <c r="L126" s="4" t="s">
        <v>2504</v>
      </c>
      <c r="M126" s="4">
        <v>13</v>
      </c>
      <c r="N126" s="4">
        <v>34948</v>
      </c>
      <c r="O126" s="4">
        <v>38532</v>
      </c>
      <c r="P126" s="4" t="s">
        <v>71</v>
      </c>
      <c r="Q126" s="4" t="s">
        <v>317</v>
      </c>
    </row>
    <row r="127" spans="1:17">
      <c r="A127" s="4" t="s">
        <v>72</v>
      </c>
      <c r="B127" s="4">
        <v>68423</v>
      </c>
      <c r="C127" s="4" t="s">
        <v>32</v>
      </c>
      <c r="D127" s="4" t="s">
        <v>68</v>
      </c>
      <c r="E127" s="5" t="s">
        <v>73</v>
      </c>
      <c r="F127" s="6" t="str">
        <f>HYPERLINK("https://stat100.ameba.jp/tnk47/ratio20/illustrations/card/ill_68423_magomemaria03.jpg", "■")</f>
        <v>■</v>
      </c>
      <c r="G127" s="4" t="s">
        <v>74</v>
      </c>
      <c r="H127" s="4"/>
      <c r="I127" s="4"/>
      <c r="J127" s="4"/>
      <c r="K127" s="4"/>
      <c r="L127" s="4" t="s">
        <v>2505</v>
      </c>
      <c r="M127" s="4">
        <v>13</v>
      </c>
      <c r="N127" s="4">
        <v>38532</v>
      </c>
      <c r="O127" s="4">
        <v>34948</v>
      </c>
      <c r="P127" s="4" t="s">
        <v>75</v>
      </c>
      <c r="Q127" s="4" t="s">
        <v>334</v>
      </c>
    </row>
    <row r="128" spans="1:17">
      <c r="H128" s="4"/>
      <c r="I128" s="4"/>
      <c r="J128" s="4"/>
      <c r="K128" s="4"/>
      <c r="L128" s="4"/>
    </row>
    <row r="129" spans="1:17" s="48" customFormat="1"/>
    <row r="130" spans="1:17" s="7" customFormat="1">
      <c r="A130" s="4" t="s">
        <v>37</v>
      </c>
      <c r="D130" s="4"/>
      <c r="E130" s="4"/>
      <c r="F130" s="4"/>
      <c r="G130" s="4"/>
      <c r="H130" s="4"/>
      <c r="I130" s="4"/>
      <c r="J130" s="4"/>
      <c r="K130" s="4"/>
      <c r="L130" s="4"/>
      <c r="P130" s="4"/>
      <c r="Q130" s="4"/>
    </row>
    <row r="131" spans="1:17" s="7" customFormat="1">
      <c r="A131" s="4" t="s">
        <v>38</v>
      </c>
      <c r="B131" s="7">
        <v>68543</v>
      </c>
      <c r="C131" s="4" t="s">
        <v>20</v>
      </c>
      <c r="D131" s="4" t="s">
        <v>33</v>
      </c>
      <c r="E131" s="5" t="s">
        <v>39</v>
      </c>
      <c r="F131" s="6" t="str">
        <f>HYPERLINK("https://stat100.ameba.jp/tnk47/ratio20/illustrations/card/ill_68543_yoshinogariiseki03.jpg", "■")</f>
        <v>■</v>
      </c>
      <c r="G131" s="4" t="s">
        <v>40</v>
      </c>
      <c r="H131" s="4"/>
      <c r="I131" s="4"/>
      <c r="J131" s="4"/>
      <c r="K131" s="4"/>
      <c r="L131" s="4" t="s">
        <v>2498</v>
      </c>
      <c r="M131" s="4">
        <v>13</v>
      </c>
      <c r="N131" s="4">
        <v>34948</v>
      </c>
      <c r="O131" s="4">
        <v>38532</v>
      </c>
      <c r="P131" s="4" t="s">
        <v>41</v>
      </c>
      <c r="Q131" s="4" t="s">
        <v>354</v>
      </c>
    </row>
    <row r="132" spans="1:17" s="7" customFormat="1">
      <c r="A132" s="4" t="s">
        <v>42</v>
      </c>
      <c r="B132" s="7">
        <v>68903</v>
      </c>
      <c r="C132" s="4" t="s">
        <v>26</v>
      </c>
      <c r="D132" s="4" t="s">
        <v>43</v>
      </c>
      <c r="E132" s="5" t="s">
        <v>44</v>
      </c>
      <c r="F132" s="6" t="str">
        <f>HYPERLINK("https://stat100.ameba.jp/tnk47/ratio20/illustrations/card/ill_68903_sainokamiyaki03.jpg", "■")</f>
        <v>■</v>
      </c>
      <c r="G132" s="4" t="s">
        <v>45</v>
      </c>
      <c r="H132" s="4"/>
      <c r="I132" s="4"/>
      <c r="J132" s="4"/>
      <c r="K132" s="4"/>
      <c r="L132" s="4" t="s">
        <v>2499</v>
      </c>
      <c r="M132" s="4">
        <v>13</v>
      </c>
      <c r="N132" s="4">
        <v>38532</v>
      </c>
      <c r="O132" s="4">
        <v>34948</v>
      </c>
      <c r="P132" s="4" t="s">
        <v>46</v>
      </c>
      <c r="Q132" s="4" t="s">
        <v>246</v>
      </c>
    </row>
    <row r="133" spans="1:17" s="7" customFormat="1">
      <c r="A133" s="4" t="s">
        <v>47</v>
      </c>
      <c r="B133" s="4">
        <v>69043</v>
      </c>
      <c r="C133" s="7" t="s">
        <v>32</v>
      </c>
      <c r="D133" s="4" t="s">
        <v>48</v>
      </c>
      <c r="E133" s="5" t="s">
        <v>49</v>
      </c>
      <c r="F133" s="6" t="str">
        <f>HYPERLINK("https://stat100.ameba.jp/tnk47/ratio20/illustrations/card/ill_69043_uintasupotsuakaiteruko03.jpg", "■")</f>
        <v>■</v>
      </c>
      <c r="G133" s="4" t="s">
        <v>50</v>
      </c>
      <c r="H133" s="4"/>
      <c r="I133" s="4"/>
      <c r="J133" s="4"/>
      <c r="K133" s="4"/>
      <c r="L133" s="4" t="s">
        <v>2500</v>
      </c>
      <c r="M133" s="4">
        <v>13</v>
      </c>
      <c r="N133" s="4">
        <v>38532</v>
      </c>
      <c r="O133" s="4">
        <v>34948</v>
      </c>
      <c r="P133" s="4" t="s">
        <v>51</v>
      </c>
      <c r="Q133" s="4" t="s">
        <v>2409</v>
      </c>
    </row>
    <row r="134" spans="1:17" s="7" customFormat="1">
      <c r="A134" s="4" t="s">
        <v>52</v>
      </c>
      <c r="B134" s="7">
        <v>69163</v>
      </c>
      <c r="C134" s="4" t="s">
        <v>14</v>
      </c>
      <c r="D134" s="4" t="s">
        <v>53</v>
      </c>
      <c r="E134" s="5" t="s">
        <v>54</v>
      </c>
      <c r="F134" s="6" t="str">
        <f>HYPERLINK("https://stat100.ameba.jp/tnk47/ratio20/illustrations/card/ill_69163_shibasuberi03.jpg", "■")</f>
        <v>■</v>
      </c>
      <c r="G134" s="4" t="s">
        <v>55</v>
      </c>
      <c r="H134" s="4"/>
      <c r="I134" s="4"/>
      <c r="J134" s="4"/>
      <c r="K134" s="4"/>
      <c r="L134" s="4" t="s">
        <v>2501</v>
      </c>
      <c r="M134" s="4">
        <v>13</v>
      </c>
      <c r="N134" s="4">
        <v>34948</v>
      </c>
      <c r="O134" s="4">
        <v>38532</v>
      </c>
      <c r="P134" s="4" t="s">
        <v>56</v>
      </c>
      <c r="Q134" s="4" t="s">
        <v>2410</v>
      </c>
    </row>
    <row r="135" spans="1:17">
      <c r="H135" s="4"/>
      <c r="I135" s="4"/>
      <c r="J135" s="4"/>
      <c r="K135" s="4"/>
      <c r="L135" s="4"/>
    </row>
    <row r="136" spans="1:17">
      <c r="A136" s="4" t="s">
        <v>2271</v>
      </c>
      <c r="H136" s="4"/>
      <c r="I136" s="4"/>
      <c r="J136" s="4"/>
      <c r="K136" s="4"/>
      <c r="L136" s="4"/>
    </row>
    <row r="137" spans="1:17">
      <c r="A137" s="4" t="s">
        <v>13</v>
      </c>
      <c r="B137" s="4">
        <v>69373</v>
      </c>
      <c r="C137" s="4" t="s">
        <v>14</v>
      </c>
      <c r="D137" s="4" t="s">
        <v>15</v>
      </c>
      <c r="E137" s="5" t="s">
        <v>16</v>
      </c>
      <c r="F137" s="6" t="str">
        <f>HYPERLINK("https://stat100.ameba.jp/tnk47/ratio20/illustrations/card/ill_69373_fujiwaranoanshi03.jpg", "■")</f>
        <v>■</v>
      </c>
      <c r="G137" s="4" t="s">
        <v>17</v>
      </c>
      <c r="H137" s="4"/>
      <c r="I137" s="4"/>
      <c r="J137" s="4"/>
      <c r="K137" s="4"/>
      <c r="L137" s="4" t="s">
        <v>2494</v>
      </c>
      <c r="M137" s="4">
        <v>13</v>
      </c>
      <c r="N137" s="4">
        <v>38532</v>
      </c>
      <c r="O137" s="4">
        <v>34948</v>
      </c>
      <c r="P137" s="4" t="s">
        <v>18</v>
      </c>
      <c r="Q137" s="4" t="s">
        <v>334</v>
      </c>
    </row>
    <row r="138" spans="1:17">
      <c r="A138" s="4" t="s">
        <v>19</v>
      </c>
      <c r="B138" s="4">
        <v>70963</v>
      </c>
      <c r="C138" s="4" t="s">
        <v>20</v>
      </c>
      <c r="D138" s="4" t="s">
        <v>21</v>
      </c>
      <c r="E138" s="5" t="s">
        <v>22</v>
      </c>
      <c r="F138" s="6" t="str">
        <f>HYPERLINK("https://stat100.ameba.jp/tnk47/ratio20/illustrations/card/ill_70963_shohashio03.jpg", "■")</f>
        <v>■</v>
      </c>
      <c r="G138" s="4" t="s">
        <v>23</v>
      </c>
      <c r="H138" s="4"/>
      <c r="I138" s="4"/>
      <c r="J138" s="4"/>
      <c r="K138" s="4"/>
      <c r="L138" s="4" t="s">
        <v>2495</v>
      </c>
      <c r="M138" s="4">
        <v>13</v>
      </c>
      <c r="N138" s="4">
        <v>38532</v>
      </c>
      <c r="O138" s="4">
        <v>34948</v>
      </c>
      <c r="P138" s="4" t="s">
        <v>24</v>
      </c>
      <c r="Q138" s="4" t="s">
        <v>146</v>
      </c>
    </row>
    <row r="139" spans="1:17">
      <c r="A139" s="4" t="s">
        <v>25</v>
      </c>
      <c r="B139" s="4">
        <v>69853</v>
      </c>
      <c r="C139" s="4" t="s">
        <v>26</v>
      </c>
      <c r="D139" s="4" t="s">
        <v>27</v>
      </c>
      <c r="E139" s="5" t="s">
        <v>28</v>
      </c>
      <c r="F139" s="6" t="str">
        <f>HYPERLINK("https://stat100.ameba.jp/tnk47/ratio20/illustrations/card/ill_69853_kyupiddohasukapputei03.jpg", "■")</f>
        <v>■</v>
      </c>
      <c r="G139" s="4" t="s">
        <v>29</v>
      </c>
      <c r="H139" s="4"/>
      <c r="I139" s="4"/>
      <c r="J139" s="4"/>
      <c r="K139" s="4"/>
      <c r="L139" s="4" t="s">
        <v>2496</v>
      </c>
      <c r="M139" s="4">
        <v>13</v>
      </c>
      <c r="N139" s="4">
        <v>34948</v>
      </c>
      <c r="O139" s="4">
        <v>38532</v>
      </c>
      <c r="P139" s="4" t="s">
        <v>30</v>
      </c>
      <c r="Q139" s="4" t="s">
        <v>168</v>
      </c>
    </row>
    <row r="140" spans="1:17">
      <c r="A140" s="4" t="s">
        <v>31</v>
      </c>
      <c r="B140" s="4">
        <v>69993</v>
      </c>
      <c r="C140" s="4" t="s">
        <v>32</v>
      </c>
      <c r="D140" s="4" t="s">
        <v>33</v>
      </c>
      <c r="E140" s="5" t="s">
        <v>34</v>
      </c>
      <c r="F140" s="6" t="str">
        <f>HYPERLINK("https://stat100.ameba.jp/tnk47/ratio20/illustrations/card/ill_69993_yukinoukokubara03.jpg", "■")</f>
        <v>■</v>
      </c>
      <c r="G140" s="4" t="s">
        <v>35</v>
      </c>
      <c r="H140" s="4"/>
      <c r="I140" s="4"/>
      <c r="J140" s="4"/>
      <c r="K140" s="4"/>
      <c r="L140" s="4" t="s">
        <v>2497</v>
      </c>
      <c r="M140" s="4">
        <v>13</v>
      </c>
      <c r="N140" s="4">
        <v>34948</v>
      </c>
      <c r="O140" s="4">
        <v>38532</v>
      </c>
      <c r="P140" s="4" t="s">
        <v>36</v>
      </c>
      <c r="Q140" s="4" t="s">
        <v>354</v>
      </c>
    </row>
    <row r="141" spans="1:17" s="7" customFormat="1">
      <c r="A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P141" s="4"/>
      <c r="Q141" s="4"/>
    </row>
    <row r="142" spans="1:17" s="18" customFormat="1">
      <c r="A142" s="18" t="s">
        <v>2272</v>
      </c>
    </row>
    <row r="143" spans="1:17" s="18" customFormat="1">
      <c r="A143" s="18" t="s">
        <v>2291</v>
      </c>
      <c r="B143" s="18">
        <v>70233</v>
      </c>
      <c r="C143" s="18" t="s">
        <v>2274</v>
      </c>
      <c r="D143" s="18" t="s">
        <v>2276</v>
      </c>
      <c r="E143" s="18" t="s">
        <v>2270</v>
      </c>
      <c r="F143" s="6" t="str">
        <f>HYPERLINK("https://stat100.ameba.jp/tnk47/ratio20/illustrations/card/ill_70233_enjunojashin03.jpg", "■")</f>
        <v>■</v>
      </c>
      <c r="G143" s="18" t="s">
        <v>2273</v>
      </c>
      <c r="L143" s="18" t="s">
        <v>2490</v>
      </c>
      <c r="M143" s="18">
        <v>13</v>
      </c>
      <c r="N143" s="18">
        <v>38532</v>
      </c>
      <c r="O143" s="18">
        <v>34948</v>
      </c>
      <c r="P143" s="18" t="s">
        <v>2275</v>
      </c>
      <c r="Q143" s="18" t="s">
        <v>225</v>
      </c>
    </row>
    <row r="144" spans="1:17" s="18" customFormat="1">
      <c r="A144" s="18" t="s">
        <v>2292</v>
      </c>
      <c r="B144" s="18">
        <v>71933</v>
      </c>
      <c r="C144" s="18" t="s">
        <v>2279</v>
      </c>
      <c r="D144" s="18" t="s">
        <v>2280</v>
      </c>
      <c r="E144" s="18" t="s">
        <v>2277</v>
      </c>
      <c r="F144" s="6" t="str">
        <f>HYPERLINK("https://stat100.ameba.jp/tnk47/ratio20/illustrations/card/ill_71933_tofukumonin03.jpg", "■")</f>
        <v>■</v>
      </c>
      <c r="G144" s="18" t="s">
        <v>2278</v>
      </c>
      <c r="L144" s="18" t="s">
        <v>2491</v>
      </c>
      <c r="M144" s="18">
        <v>13</v>
      </c>
      <c r="N144" s="18">
        <v>34948</v>
      </c>
      <c r="O144" s="18">
        <v>38532</v>
      </c>
      <c r="P144" s="18" t="s">
        <v>2281</v>
      </c>
      <c r="Q144" s="18" t="s">
        <v>317</v>
      </c>
    </row>
    <row r="145" spans="1:17" s="18" customFormat="1">
      <c r="A145" s="18" t="s">
        <v>2293</v>
      </c>
      <c r="B145" s="18">
        <v>70713</v>
      </c>
      <c r="C145" s="18" t="s">
        <v>2274</v>
      </c>
      <c r="D145" s="18" t="s">
        <v>2284</v>
      </c>
      <c r="E145" s="18" t="s">
        <v>2282</v>
      </c>
      <c r="F145" s="6" t="str">
        <f>HYPERLINK("https://stat100.ameba.jp/tnk47/ratio20/illustrations/card/ill_70713_howaitodekuroyuridensetsu03.jpg", "■")</f>
        <v>■</v>
      </c>
      <c r="G145" s="18" t="s">
        <v>2283</v>
      </c>
      <c r="L145" s="18" t="s">
        <v>2492</v>
      </c>
      <c r="M145" s="18">
        <v>13</v>
      </c>
      <c r="N145" s="18">
        <v>38532</v>
      </c>
      <c r="O145" s="18">
        <v>34948</v>
      </c>
      <c r="P145" s="18" t="s">
        <v>2285</v>
      </c>
      <c r="Q145" s="18" t="s">
        <v>246</v>
      </c>
    </row>
    <row r="146" spans="1:17" s="18" customFormat="1">
      <c r="A146" s="18" t="s">
        <v>2294</v>
      </c>
      <c r="B146" s="18">
        <v>70833</v>
      </c>
      <c r="C146" s="18" t="s">
        <v>2289</v>
      </c>
      <c r="D146" s="18" t="s">
        <v>2290</v>
      </c>
      <c r="E146" s="18" t="s">
        <v>2288</v>
      </c>
      <c r="F146" s="6" t="str">
        <f>HYPERLINK("https://stat100.ameba.jp/tnk47/ratio20/illustrations/card/ill_70833_indoshinwamurasakiimotarutochan03.jpg", "■")</f>
        <v>■</v>
      </c>
      <c r="G146" s="18" t="s">
        <v>2287</v>
      </c>
      <c r="L146" s="18" t="s">
        <v>2493</v>
      </c>
      <c r="M146" s="18">
        <v>13</v>
      </c>
      <c r="N146" s="18">
        <v>38532</v>
      </c>
      <c r="O146" s="18">
        <v>34948</v>
      </c>
      <c r="P146" s="18" t="s">
        <v>2286</v>
      </c>
      <c r="Q146" s="18" t="s">
        <v>252</v>
      </c>
    </row>
    <row r="147" spans="1:17" s="7" customFormat="1">
      <c r="A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P147" s="45"/>
      <c r="Q147" s="45"/>
    </row>
    <row r="148" spans="1:17" s="36" customFormat="1">
      <c r="A148" s="36" t="s">
        <v>2344</v>
      </c>
    </row>
    <row r="149" spans="1:17" s="36" customFormat="1">
      <c r="A149" s="36" t="s">
        <v>2340</v>
      </c>
      <c r="B149" s="36">
        <v>71163</v>
      </c>
      <c r="C149" s="36" t="s">
        <v>26</v>
      </c>
      <c r="D149" s="36" t="s">
        <v>2323</v>
      </c>
      <c r="E149" s="36" t="s">
        <v>2321</v>
      </c>
      <c r="F149" s="25" t="str">
        <f>HYPERLINK("https://stat100.ameba.jp/tnk47/ratio20/illustrations/card/ill_71163_dekamorisupukare03.jpg", "■")</f>
        <v>■</v>
      </c>
      <c r="G149" s="36" t="s">
        <v>2322</v>
      </c>
      <c r="L149" s="37" t="s">
        <v>2654</v>
      </c>
      <c r="M149" s="36">
        <v>13</v>
      </c>
      <c r="N149" s="36">
        <v>34948</v>
      </c>
      <c r="O149" s="36">
        <v>38532</v>
      </c>
      <c r="P149" s="36" t="s">
        <v>2324</v>
      </c>
      <c r="Q149" s="36" t="s">
        <v>168</v>
      </c>
    </row>
    <row r="150" spans="1:17" s="36" customFormat="1">
      <c r="A150" s="36" t="s">
        <v>2341</v>
      </c>
      <c r="B150" s="36">
        <v>71523</v>
      </c>
      <c r="C150" s="36" t="s">
        <v>2326</v>
      </c>
      <c r="D150" s="36" t="s">
        <v>2327</v>
      </c>
      <c r="E150" s="36" t="s">
        <v>2325</v>
      </c>
      <c r="F150" s="25" t="str">
        <f>HYPERLINK("https://stat100.ameba.jp/tnk47/ratio20/illustrations/card/ill_71523_sakurameguriyaobikuni03.jpg", "■")</f>
        <v>■</v>
      </c>
      <c r="G150" s="36" t="s">
        <v>2328</v>
      </c>
      <c r="L150" s="37" t="s">
        <v>2686</v>
      </c>
      <c r="M150" s="36">
        <v>13</v>
      </c>
      <c r="N150" s="36">
        <v>38532</v>
      </c>
      <c r="O150" s="36">
        <v>34948</v>
      </c>
      <c r="P150" s="36" t="s">
        <v>2329</v>
      </c>
      <c r="Q150" s="36" t="s">
        <v>225</v>
      </c>
    </row>
    <row r="151" spans="1:17" s="36" customFormat="1">
      <c r="A151" s="36" t="s">
        <v>2342</v>
      </c>
      <c r="B151" s="36">
        <v>71663</v>
      </c>
      <c r="C151" s="36" t="s">
        <v>2332</v>
      </c>
      <c r="D151" s="36" t="s">
        <v>2333</v>
      </c>
      <c r="E151" s="36" t="s">
        <v>2330</v>
      </c>
      <c r="F151" s="25" t="str">
        <f>HYPERLINK("https://stat100.ameba.jp/tnk47/ratio20/illustrations/card/ill_71663_shokugyotaikenenyuin03.jpg", "■")</f>
        <v>■</v>
      </c>
      <c r="G151" s="36" t="s">
        <v>2331</v>
      </c>
      <c r="L151" s="37" t="s">
        <v>2687</v>
      </c>
      <c r="M151" s="36">
        <v>13</v>
      </c>
      <c r="N151" s="36">
        <v>38532</v>
      </c>
      <c r="O151" s="36">
        <v>34948</v>
      </c>
      <c r="P151" s="36" t="s">
        <v>2334</v>
      </c>
      <c r="Q151" s="36" t="s">
        <v>334</v>
      </c>
    </row>
    <row r="152" spans="1:17" s="36" customFormat="1">
      <c r="A152" s="36" t="s">
        <v>2343</v>
      </c>
      <c r="B152" s="36">
        <v>72783</v>
      </c>
      <c r="C152" s="36" t="s">
        <v>2337</v>
      </c>
      <c r="D152" s="36" t="s">
        <v>2336</v>
      </c>
      <c r="E152" s="36" t="s">
        <v>2338</v>
      </c>
      <c r="F152" s="25" t="str">
        <f>HYPERLINK("https://stat100.ameba.jp/tnk47/ratio20/illustrations/card/ill_72783_nionohime03.jpg", "■")</f>
        <v>■</v>
      </c>
      <c r="G152" s="36" t="s">
        <v>2339</v>
      </c>
      <c r="L152" s="37" t="s">
        <v>2688</v>
      </c>
      <c r="M152" s="36">
        <v>13</v>
      </c>
      <c r="N152" s="36">
        <v>38532</v>
      </c>
      <c r="O152" s="36">
        <v>34948</v>
      </c>
      <c r="P152" s="36" t="s">
        <v>2335</v>
      </c>
      <c r="Q152" s="36" t="s">
        <v>246</v>
      </c>
    </row>
    <row r="153" spans="1:17">
      <c r="H153" s="4"/>
      <c r="I153" s="4"/>
      <c r="J153" s="4"/>
      <c r="K153" s="4"/>
      <c r="L153" s="4"/>
    </row>
    <row r="154" spans="1:17" s="38" customFormat="1">
      <c r="A154" s="38" t="s">
        <v>2348</v>
      </c>
    </row>
    <row r="155" spans="1:17" s="38" customFormat="1">
      <c r="A155" s="38" t="s">
        <v>2345</v>
      </c>
      <c r="B155" s="38">
        <v>72013</v>
      </c>
      <c r="C155" s="38" t="s">
        <v>2350</v>
      </c>
      <c r="D155" s="38" t="s">
        <v>2351</v>
      </c>
      <c r="E155" s="38" t="s">
        <v>2349</v>
      </c>
      <c r="F155" s="25" t="str">
        <f>HYPERLINK("https://stat100.ameba.jp/tnk47/ratio20/illustrations/card/ill_72013_otegineyukihideyasu03.jpg", "■")</f>
        <v>■</v>
      </c>
      <c r="G155" s="38" t="s">
        <v>2352</v>
      </c>
      <c r="L155" s="38" t="s">
        <v>2653</v>
      </c>
      <c r="M155" s="38">
        <v>13</v>
      </c>
      <c r="N155" s="38">
        <v>34948</v>
      </c>
      <c r="O155" s="38">
        <v>38532</v>
      </c>
      <c r="P155" s="38" t="s">
        <v>2353</v>
      </c>
      <c r="Q155" s="38" t="s">
        <v>349</v>
      </c>
    </row>
    <row r="156" spans="1:17" s="38" customFormat="1">
      <c r="A156" s="38" t="s">
        <v>2346</v>
      </c>
      <c r="B156" s="38">
        <v>72363</v>
      </c>
      <c r="C156" s="38" t="s">
        <v>2355</v>
      </c>
      <c r="D156" s="38" t="s">
        <v>2356</v>
      </c>
      <c r="E156" s="38" t="s">
        <v>2354</v>
      </c>
      <c r="F156" s="25" t="str">
        <f>HYPERLINK("https://stat100.ameba.jp/tnk47/ratio20/illustrations/card/ill_72363_zuwaigani03.jpg", "■")</f>
        <v>■</v>
      </c>
      <c r="G156" s="38" t="s">
        <v>2357</v>
      </c>
      <c r="L156" s="38" t="s">
        <v>2673</v>
      </c>
      <c r="M156" s="38">
        <v>13</v>
      </c>
      <c r="N156" s="38">
        <v>38532</v>
      </c>
      <c r="O156" s="38">
        <v>34948</v>
      </c>
      <c r="P156" s="38" t="s">
        <v>2358</v>
      </c>
      <c r="Q156" s="38" t="s">
        <v>252</v>
      </c>
    </row>
    <row r="157" spans="1:17" s="38" customFormat="1">
      <c r="A157" s="38" t="s">
        <v>2347</v>
      </c>
      <c r="B157" s="38">
        <v>72493</v>
      </c>
      <c r="C157" s="38" t="s">
        <v>2355</v>
      </c>
      <c r="D157" s="38" t="s">
        <v>2360</v>
      </c>
      <c r="E157" s="38" t="s">
        <v>2359</v>
      </c>
      <c r="F157" s="25" t="str">
        <f>HYPERLINK("https://stat100.ameba.jp/tnk47/ratio20/illustrations/card/ill_72493_safuaripakusahohime03.jpg", "■")</f>
        <v>■</v>
      </c>
      <c r="G157" s="38" t="s">
        <v>2361</v>
      </c>
      <c r="L157" s="38" t="s">
        <v>2672</v>
      </c>
      <c r="M157" s="38">
        <v>13</v>
      </c>
      <c r="N157" s="38">
        <v>38532</v>
      </c>
      <c r="O157" s="38">
        <v>34948</v>
      </c>
      <c r="P157" s="38" t="s">
        <v>2362</v>
      </c>
      <c r="Q157" s="38" t="s">
        <v>344</v>
      </c>
    </row>
    <row r="158" spans="1:17" s="38" customFormat="1">
      <c r="A158" s="38" t="s">
        <v>2368</v>
      </c>
      <c r="B158" s="38">
        <v>72613</v>
      </c>
      <c r="C158" s="38" t="s">
        <v>2364</v>
      </c>
      <c r="D158" s="38" t="s">
        <v>2365</v>
      </c>
      <c r="E158" s="38" t="s">
        <v>2363</v>
      </c>
      <c r="F158" s="25" t="str">
        <f>HYPERLINK("https://stat100.ameba.jp/tnk47/ratio20/illustrations/card/ill_72613_onnajoshumimuratsuru03.jpg", "■")</f>
        <v>■</v>
      </c>
      <c r="G158" s="38" t="s">
        <v>2366</v>
      </c>
      <c r="L158" s="38" t="s">
        <v>2560</v>
      </c>
      <c r="M158" s="38">
        <v>13</v>
      </c>
      <c r="N158" s="38">
        <v>38532</v>
      </c>
      <c r="O158" s="38">
        <v>34948</v>
      </c>
      <c r="P158" s="38" t="s">
        <v>2367</v>
      </c>
      <c r="Q158" s="38" t="s">
        <v>334</v>
      </c>
    </row>
    <row r="159" spans="1:17" s="75" customFormat="1">
      <c r="F159" s="25"/>
    </row>
    <row r="160" spans="1:17">
      <c r="A160" s="54" t="s">
        <v>2627</v>
      </c>
      <c r="B160" s="54"/>
      <c r="C160" s="7"/>
      <c r="D160" s="54"/>
      <c r="E160" s="54"/>
      <c r="F160" s="54"/>
      <c r="G160" s="54"/>
      <c r="H160" s="54"/>
      <c r="I160" s="54"/>
      <c r="J160" s="54"/>
      <c r="K160" s="54"/>
      <c r="L160" s="54"/>
      <c r="M160" s="7"/>
      <c r="N160" s="7"/>
      <c r="O160" s="7"/>
      <c r="P160" s="54"/>
      <c r="Q160" s="54"/>
    </row>
    <row r="161" spans="1:17">
      <c r="A161" s="54" t="s">
        <v>2628</v>
      </c>
      <c r="B161" s="54">
        <v>72803</v>
      </c>
      <c r="C161" s="7" t="s">
        <v>2636</v>
      </c>
      <c r="D161" s="54" t="s">
        <v>2633</v>
      </c>
      <c r="E161" s="54" t="s">
        <v>2635</v>
      </c>
      <c r="F161" s="25" t="str">
        <f>HYPERLINK("https://stat100.ameba.jp/tnk47/ratio20/illustrations/card/ill_72803_kawasakihachiemon03.jpg", "■")</f>
        <v>■</v>
      </c>
      <c r="G161" s="54" t="s">
        <v>2634</v>
      </c>
      <c r="H161" s="54"/>
      <c r="I161" s="54"/>
      <c r="J161" s="54"/>
      <c r="K161" s="54"/>
      <c r="L161" s="54" t="s">
        <v>2674</v>
      </c>
      <c r="M161" s="54">
        <v>13</v>
      </c>
      <c r="N161" s="7">
        <v>38532</v>
      </c>
      <c r="O161" s="7">
        <v>34948</v>
      </c>
      <c r="P161" s="54" t="s">
        <v>2632</v>
      </c>
      <c r="Q161" s="54" t="s">
        <v>146</v>
      </c>
    </row>
    <row r="162" spans="1:17">
      <c r="A162" s="54" t="s">
        <v>2629</v>
      </c>
      <c r="B162" s="54">
        <v>73173</v>
      </c>
      <c r="C162" s="7" t="s">
        <v>2641</v>
      </c>
      <c r="D162" s="54" t="s">
        <v>2638</v>
      </c>
      <c r="E162" s="54" t="s">
        <v>2640</v>
      </c>
      <c r="F162" s="25" t="str">
        <f>HYPERLINK("https://stat100.ameba.jp/tnk47/ratio20/illustrations/card/ill_73173_ikedasen03.jpg", "■")</f>
        <v>■</v>
      </c>
      <c r="G162" s="54" t="s">
        <v>2639</v>
      </c>
      <c r="H162" s="54"/>
      <c r="I162" s="54"/>
      <c r="J162" s="54"/>
      <c r="K162" s="54"/>
      <c r="L162" s="54" t="s">
        <v>2675</v>
      </c>
      <c r="M162" s="54">
        <v>13</v>
      </c>
      <c r="N162" s="7">
        <v>38532</v>
      </c>
      <c r="O162" s="7">
        <v>34948</v>
      </c>
      <c r="P162" s="54" t="s">
        <v>2637</v>
      </c>
      <c r="Q162" s="54" t="s">
        <v>2409</v>
      </c>
    </row>
    <row r="163" spans="1:17">
      <c r="A163" s="54" t="s">
        <v>2630</v>
      </c>
      <c r="B163" s="54">
        <v>73303</v>
      </c>
      <c r="C163" s="7" t="s">
        <v>2646</v>
      </c>
      <c r="D163" s="54" t="s">
        <v>2643</v>
      </c>
      <c r="E163" s="54" t="s">
        <v>2645</v>
      </c>
      <c r="F163" s="25" t="str">
        <f>HYPERLINK("https://stat100.ameba.jp/tnk47/ratio20/illustrations/card/ill_73303_amamikiyo03.jpg", "■")</f>
        <v>■</v>
      </c>
      <c r="G163" s="54" t="s">
        <v>2644</v>
      </c>
      <c r="H163" s="54"/>
      <c r="I163" s="54"/>
      <c r="J163" s="54"/>
      <c r="K163" s="54"/>
      <c r="L163" s="54" t="s">
        <v>2671</v>
      </c>
      <c r="M163" s="54">
        <v>13</v>
      </c>
      <c r="N163" s="7">
        <v>34948</v>
      </c>
      <c r="O163" s="7">
        <v>38532</v>
      </c>
      <c r="P163" s="54" t="s">
        <v>2642</v>
      </c>
      <c r="Q163" s="54" t="s">
        <v>258</v>
      </c>
    </row>
    <row r="164" spans="1:17">
      <c r="A164" s="7" t="s">
        <v>2631</v>
      </c>
      <c r="B164" s="54">
        <v>73393</v>
      </c>
      <c r="C164" s="7" t="s">
        <v>2650</v>
      </c>
      <c r="D164" s="54" t="s">
        <v>2651</v>
      </c>
      <c r="E164" s="54" t="s">
        <v>2649</v>
      </c>
      <c r="F164" s="25" t="str">
        <f>HYPERLINK("https://stat100.ameba.jp/tnk47/ratio20/illustrations/card/ill_73393_orora03.jpg", "■")</f>
        <v>■</v>
      </c>
      <c r="G164" s="54" t="s">
        <v>2648</v>
      </c>
      <c r="H164" s="54"/>
      <c r="I164" s="54"/>
      <c r="J164" s="54"/>
      <c r="K164" s="54"/>
      <c r="L164" s="54" t="s">
        <v>2652</v>
      </c>
      <c r="M164" s="54">
        <v>13</v>
      </c>
      <c r="N164" s="7">
        <v>34948</v>
      </c>
      <c r="O164" s="7">
        <v>38532</v>
      </c>
      <c r="P164" s="54" t="s">
        <v>2647</v>
      </c>
      <c r="Q164" s="54" t="s">
        <v>151</v>
      </c>
    </row>
    <row r="165" spans="1:17">
      <c r="A165" s="64"/>
      <c r="B165" s="7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7"/>
      <c r="N165" s="64"/>
      <c r="O165" s="7"/>
      <c r="P165" s="64"/>
      <c r="Q165" s="64"/>
    </row>
    <row r="166" spans="1:17" s="87" customFormat="1">
      <c r="B166" s="7"/>
      <c r="M166" s="7"/>
      <c r="O166" s="7"/>
    </row>
    <row r="167" spans="1:17">
      <c r="A167" s="64" t="s">
        <v>2714</v>
      </c>
      <c r="B167" s="64"/>
      <c r="C167" s="7"/>
      <c r="D167" s="64"/>
      <c r="E167" s="64"/>
      <c r="F167" s="64"/>
      <c r="G167" s="64"/>
      <c r="H167" s="64"/>
      <c r="I167" s="64"/>
      <c r="J167" s="64"/>
      <c r="K167" s="64"/>
      <c r="L167" s="64"/>
      <c r="M167" s="7"/>
      <c r="N167" s="7"/>
      <c r="O167" s="7"/>
      <c r="P167" s="64"/>
      <c r="Q167" s="64"/>
    </row>
    <row r="168" spans="1:17">
      <c r="A168" s="64" t="s">
        <v>2715</v>
      </c>
      <c r="B168" s="64">
        <v>73613</v>
      </c>
      <c r="C168" s="7" t="s">
        <v>2736</v>
      </c>
      <c r="D168" s="64" t="s">
        <v>2735</v>
      </c>
      <c r="E168" s="64" t="s">
        <v>2734</v>
      </c>
      <c r="F168" s="25" t="str">
        <f>HYPERLINK("https://stat100.ameba.jp/tnk47/ratio20/illustrations/card/ill_73613_futamatatonneru03.jpg", "■")</f>
        <v>■</v>
      </c>
      <c r="G168" s="64" t="s">
        <v>2720</v>
      </c>
      <c r="H168" s="64"/>
      <c r="I168" s="64"/>
      <c r="J168" s="64"/>
      <c r="K168" s="64"/>
      <c r="L168" s="64" t="s">
        <v>2718</v>
      </c>
      <c r="M168" s="64">
        <v>13</v>
      </c>
      <c r="N168" s="7">
        <v>38532</v>
      </c>
      <c r="O168" s="7">
        <v>34948</v>
      </c>
      <c r="P168" s="64" t="s">
        <v>2719</v>
      </c>
      <c r="Q168" s="64" t="s">
        <v>344</v>
      </c>
    </row>
    <row r="169" spans="1:17">
      <c r="A169" s="64" t="s">
        <v>2716</v>
      </c>
      <c r="B169" s="64">
        <v>73983</v>
      </c>
      <c r="C169" s="7" t="s">
        <v>2733</v>
      </c>
      <c r="D169" s="64" t="s">
        <v>2731</v>
      </c>
      <c r="E169" s="64" t="s">
        <v>2732</v>
      </c>
      <c r="F169" s="25" t="str">
        <f>HYPERLINK("https://stat100.ameba.jp/tnk47/ratio20/illustrations/card/ill_73983_nurarihyon03.jpg", "■")</f>
        <v>■</v>
      </c>
      <c r="G169" s="64" t="s">
        <v>2722</v>
      </c>
      <c r="H169" s="64"/>
      <c r="I169" s="64"/>
      <c r="J169" s="64"/>
      <c r="K169" s="64"/>
      <c r="L169" s="64" t="s">
        <v>2718</v>
      </c>
      <c r="M169" s="64">
        <v>13</v>
      </c>
      <c r="N169" s="7">
        <v>34948</v>
      </c>
      <c r="O169" s="7">
        <v>38532</v>
      </c>
      <c r="P169" s="64" t="s">
        <v>2721</v>
      </c>
      <c r="Q169" s="64" t="s">
        <v>2410</v>
      </c>
    </row>
    <row r="170" spans="1:17">
      <c r="A170" s="75" t="s">
        <v>2783</v>
      </c>
      <c r="B170" s="64">
        <v>74433</v>
      </c>
      <c r="C170" s="7" t="s">
        <v>2730</v>
      </c>
      <c r="D170" s="64" t="s">
        <v>2731</v>
      </c>
      <c r="E170" s="64" t="s">
        <v>2728</v>
      </c>
      <c r="F170" s="25" t="str">
        <f>HYPERLINK("https://stat100.ameba.jp/tnk47/ratio20/illustrations/card/ill_74433_hosogyo03.jpg", "■")</f>
        <v>■</v>
      </c>
      <c r="G170" s="64" t="s">
        <v>2724</v>
      </c>
      <c r="H170" s="64"/>
      <c r="I170" s="64"/>
      <c r="J170" s="64"/>
      <c r="K170" s="64"/>
      <c r="L170" s="64" t="s">
        <v>2718</v>
      </c>
      <c r="M170" s="64">
        <v>13</v>
      </c>
      <c r="N170" s="7">
        <v>34948</v>
      </c>
      <c r="O170" s="7">
        <v>38532</v>
      </c>
      <c r="P170" s="64" t="s">
        <v>2723</v>
      </c>
      <c r="Q170" s="64" t="s">
        <v>2410</v>
      </c>
    </row>
    <row r="171" spans="1:17">
      <c r="A171" s="7" t="s">
        <v>2784</v>
      </c>
      <c r="B171" s="64">
        <v>74723</v>
      </c>
      <c r="C171" s="7" t="s">
        <v>158</v>
      </c>
      <c r="D171" s="64" t="s">
        <v>2727</v>
      </c>
      <c r="E171" s="64" t="s">
        <v>2729</v>
      </c>
      <c r="F171" s="25" t="str">
        <f>HYPERLINK("https://stat100.ameba.jp/tnk47/ratio20/illustrations/card/ill_74723_babaheraaisu03.jpg", "■")</f>
        <v>■</v>
      </c>
      <c r="G171" s="64" t="s">
        <v>2726</v>
      </c>
      <c r="H171" s="64"/>
      <c r="I171" s="64"/>
      <c r="J171" s="64"/>
      <c r="K171" s="64"/>
      <c r="L171" s="64" t="s">
        <v>2718</v>
      </c>
      <c r="M171" s="64">
        <v>13</v>
      </c>
      <c r="N171" s="7">
        <v>34948</v>
      </c>
      <c r="O171" s="7">
        <v>38532</v>
      </c>
      <c r="P171" s="64" t="s">
        <v>2725</v>
      </c>
      <c r="Q171" s="64" t="s">
        <v>168</v>
      </c>
    </row>
    <row r="173" spans="1:17">
      <c r="A173" s="75" t="s">
        <v>2769</v>
      </c>
    </row>
    <row r="174" spans="1:17">
      <c r="A174" s="64" t="s">
        <v>2717</v>
      </c>
      <c r="B174" s="4">
        <v>74113</v>
      </c>
      <c r="C174" s="7" t="s">
        <v>100</v>
      </c>
      <c r="D174" s="4" t="s">
        <v>84</v>
      </c>
      <c r="E174" s="4" t="s">
        <v>2772</v>
      </c>
      <c r="F174" s="25" t="str">
        <f>HYPERLINK("https://stat100.ameba.jp/tnk47/ratio20/illustrations/card/ill_74113_kikumakawara03.jpg", "■")</f>
        <v>■</v>
      </c>
      <c r="G174" s="4" t="s">
        <v>2771</v>
      </c>
      <c r="L174" s="96" t="s">
        <v>2890</v>
      </c>
      <c r="M174" s="75">
        <v>13</v>
      </c>
      <c r="N174" s="4">
        <v>38532</v>
      </c>
      <c r="O174" s="4">
        <v>34948</v>
      </c>
      <c r="P174" s="4" t="s">
        <v>2770</v>
      </c>
      <c r="Q174" s="4" t="s">
        <v>156</v>
      </c>
    </row>
    <row r="175" spans="1:17">
      <c r="A175" s="7" t="s">
        <v>2782</v>
      </c>
      <c r="B175" s="4">
        <v>74943</v>
      </c>
      <c r="C175" s="7" t="s">
        <v>158</v>
      </c>
      <c r="D175" s="4" t="s">
        <v>63</v>
      </c>
      <c r="E175" s="4" t="s">
        <v>2775</v>
      </c>
      <c r="F175" s="25" t="str">
        <f>HYPERLINK("https://stat100.ameba.jp/tnk47/ratio20/illustrations/card/ill_74943_pekerechupukamui03.jpg", "■")</f>
        <v>■</v>
      </c>
      <c r="G175" s="4" t="s">
        <v>2774</v>
      </c>
      <c r="L175" s="75" t="s">
        <v>2718</v>
      </c>
      <c r="M175" s="75">
        <v>13</v>
      </c>
      <c r="N175" s="4">
        <v>38532</v>
      </c>
      <c r="O175" s="4">
        <v>34948</v>
      </c>
      <c r="P175" s="4" t="s">
        <v>2773</v>
      </c>
      <c r="Q175" s="4" t="s">
        <v>344</v>
      </c>
    </row>
    <row r="176" spans="1:17">
      <c r="A176" s="75" t="s">
        <v>2785</v>
      </c>
      <c r="B176" s="4">
        <v>75623</v>
      </c>
      <c r="C176" s="7" t="s">
        <v>123</v>
      </c>
      <c r="D176" s="4" t="s">
        <v>89</v>
      </c>
      <c r="E176" s="4" t="s">
        <v>2778</v>
      </c>
      <c r="F176" s="25" t="str">
        <f>HYPERLINK("https://stat100.ameba.jp/tnk47/ratio20/illustrations/card/ill_75623_jingukogo03.jpg", "■")</f>
        <v>■</v>
      </c>
      <c r="G176" s="4" t="s">
        <v>2777</v>
      </c>
      <c r="L176" s="75" t="s">
        <v>2890</v>
      </c>
      <c r="M176" s="75">
        <v>13</v>
      </c>
      <c r="N176" s="4">
        <v>34948</v>
      </c>
      <c r="O176" s="4">
        <v>38532</v>
      </c>
      <c r="P176" s="4" t="s">
        <v>2776</v>
      </c>
      <c r="Q176" s="4" t="s">
        <v>2817</v>
      </c>
    </row>
    <row r="177" spans="1:17">
      <c r="A177" s="75" t="s">
        <v>2786</v>
      </c>
      <c r="B177" s="4">
        <v>75743</v>
      </c>
      <c r="C177" s="75" t="s">
        <v>117</v>
      </c>
      <c r="D177" s="4" t="s">
        <v>101</v>
      </c>
      <c r="E177" s="4" t="s">
        <v>2781</v>
      </c>
      <c r="F177" s="25" t="str">
        <f>HYPERLINK("https://stat100.ameba.jp/tnk47/ratio20/illustrations/card/ill_75743_yagyumuneyoshi03.jpg", "■")</f>
        <v>■</v>
      </c>
      <c r="G177" s="4" t="s">
        <v>2780</v>
      </c>
      <c r="L177" s="75" t="s">
        <v>2718</v>
      </c>
      <c r="M177" s="75">
        <v>13</v>
      </c>
      <c r="N177" s="4">
        <v>34948</v>
      </c>
      <c r="O177" s="4">
        <v>38532</v>
      </c>
      <c r="P177" s="4" t="s">
        <v>2779</v>
      </c>
      <c r="Q177" s="4" t="s">
        <v>349</v>
      </c>
    </row>
    <row r="179" spans="1:17">
      <c r="A179" s="87" t="s">
        <v>2837</v>
      </c>
      <c r="B179" s="87"/>
      <c r="C179" s="87"/>
      <c r="D179" s="87"/>
      <c r="E179" s="87"/>
      <c r="F179" s="87"/>
      <c r="G179" s="87"/>
      <c r="M179" s="87"/>
      <c r="N179" s="87"/>
      <c r="O179" s="87"/>
      <c r="P179" s="87"/>
      <c r="Q179" s="87"/>
    </row>
    <row r="180" spans="1:17">
      <c r="A180" s="87" t="s">
        <v>2863</v>
      </c>
      <c r="B180" s="87">
        <v>80193</v>
      </c>
      <c r="C180" s="7" t="s">
        <v>117</v>
      </c>
      <c r="D180" s="87" t="s">
        <v>63</v>
      </c>
      <c r="E180" s="87" t="s">
        <v>2841</v>
      </c>
      <c r="F180" s="25" t="str">
        <f>HYPERLINK("https://stat100.ameba.jp/tnk47/ratio20/illustrations/card/ill_80193_tenshisahohime03.jpg", "■")</f>
        <v>■</v>
      </c>
      <c r="G180" s="87" t="s">
        <v>2840</v>
      </c>
      <c r="L180" s="87" t="s">
        <v>2889</v>
      </c>
      <c r="M180" s="87">
        <v>13</v>
      </c>
      <c r="N180" s="87">
        <v>38532</v>
      </c>
      <c r="O180" s="87">
        <v>34948</v>
      </c>
      <c r="P180" s="87" t="s">
        <v>2839</v>
      </c>
      <c r="Q180" s="87" t="s">
        <v>344</v>
      </c>
    </row>
    <row r="181" spans="1:17">
      <c r="A181" s="87" t="s">
        <v>2865</v>
      </c>
      <c r="B181" s="87">
        <v>77303</v>
      </c>
      <c r="C181" s="7" t="s">
        <v>123</v>
      </c>
      <c r="D181" s="87" t="s">
        <v>89</v>
      </c>
      <c r="E181" s="87" t="s">
        <v>2844</v>
      </c>
      <c r="F181" s="25" t="str">
        <f>HYPERLINK("https://stat100.ameba.jp/tnk47/ratio20/illustrations/card/ill_77303_senreiamakusashiro03.jpg", "■")</f>
        <v>■</v>
      </c>
      <c r="G181" s="87" t="s">
        <v>2843</v>
      </c>
      <c r="L181" s="87" t="s">
        <v>2718</v>
      </c>
      <c r="M181" s="87">
        <v>13</v>
      </c>
      <c r="N181" s="87">
        <v>38532</v>
      </c>
      <c r="O181" s="87">
        <v>34948</v>
      </c>
      <c r="P181" s="87" t="s">
        <v>2842</v>
      </c>
      <c r="Q181" s="87" t="s">
        <v>146</v>
      </c>
    </row>
    <row r="182" spans="1:17">
      <c r="A182" s="87" t="s">
        <v>2867</v>
      </c>
      <c r="B182" s="87">
        <v>76433</v>
      </c>
      <c r="C182" s="7" t="s">
        <v>106</v>
      </c>
      <c r="D182" s="87" t="s">
        <v>107</v>
      </c>
      <c r="E182" s="87" t="s">
        <v>2847</v>
      </c>
      <c r="F182" s="25" t="str">
        <f>HYPERLINK("https://stat100.ameba.jp/tnk47/ratio20/illustrations/card/ill_76433_kabochanomomburan03.jpg", "■")</f>
        <v>■</v>
      </c>
      <c r="G182" s="87" t="s">
        <v>2846</v>
      </c>
      <c r="L182" s="103" t="s">
        <v>2889</v>
      </c>
      <c r="M182" s="87">
        <v>13</v>
      </c>
      <c r="N182" s="87">
        <v>34948</v>
      </c>
      <c r="O182" s="87">
        <v>38532</v>
      </c>
      <c r="P182" s="87" t="s">
        <v>2845</v>
      </c>
      <c r="Q182" s="87" t="s">
        <v>168</v>
      </c>
    </row>
    <row r="183" spans="1:17">
      <c r="A183" s="87" t="s">
        <v>2869</v>
      </c>
      <c r="B183" s="87">
        <v>75523</v>
      </c>
      <c r="C183" s="87" t="s">
        <v>112</v>
      </c>
      <c r="D183" s="87" t="s">
        <v>84</v>
      </c>
      <c r="E183" s="87" t="s">
        <v>2850</v>
      </c>
      <c r="F183" s="25" t="str">
        <f>HYPERLINK("https://stat100.ameba.jp/tnk47/ratio20/illustrations/card/ill_75523_shirakawago03.jpg", "■")</f>
        <v>■</v>
      </c>
      <c r="G183" s="87" t="s">
        <v>2849</v>
      </c>
      <c r="L183" s="87" t="s">
        <v>2718</v>
      </c>
      <c r="M183" s="87">
        <v>13</v>
      </c>
      <c r="N183" s="87">
        <v>38532</v>
      </c>
      <c r="O183" s="87">
        <v>34948</v>
      </c>
      <c r="P183" s="87" t="s">
        <v>2848</v>
      </c>
      <c r="Q183" s="87" t="s">
        <v>156</v>
      </c>
    </row>
    <row r="185" spans="1:17">
      <c r="A185" s="87" t="s">
        <v>2838</v>
      </c>
      <c r="B185" s="87"/>
      <c r="C185" s="87"/>
      <c r="D185" s="87"/>
      <c r="E185" s="87"/>
      <c r="F185" s="87"/>
      <c r="G185" s="87"/>
      <c r="M185" s="87"/>
      <c r="N185" s="87"/>
      <c r="O185" s="87"/>
      <c r="P185" s="87"/>
      <c r="Q185" s="87"/>
    </row>
    <row r="186" spans="1:17">
      <c r="A186" s="87" t="s">
        <v>2864</v>
      </c>
      <c r="B186" s="87">
        <v>78173</v>
      </c>
      <c r="C186" s="7" t="s">
        <v>106</v>
      </c>
      <c r="D186" s="87" t="s">
        <v>79</v>
      </c>
      <c r="E186" s="87" t="s">
        <v>2853</v>
      </c>
      <c r="F186" s="25" t="str">
        <f>HYPERLINK("https://stat100.ameba.jp/tnk47/ratio20/illustrations/card/ill_78173_raguzatama03.jpg", "■")</f>
        <v>■</v>
      </c>
      <c r="G186" s="87" t="s">
        <v>2852</v>
      </c>
      <c r="L186" s="95" t="s">
        <v>3160</v>
      </c>
      <c r="M186" s="87">
        <v>13</v>
      </c>
      <c r="N186" s="87">
        <v>38532</v>
      </c>
      <c r="O186" s="87">
        <v>34948</v>
      </c>
      <c r="P186" s="87" t="s">
        <v>2851</v>
      </c>
      <c r="Q186" s="87" t="s">
        <v>207</v>
      </c>
    </row>
    <row r="187" spans="1:17">
      <c r="A187" s="87" t="s">
        <v>2866</v>
      </c>
      <c r="B187" s="87">
        <v>78903</v>
      </c>
      <c r="C187" s="7" t="s">
        <v>112</v>
      </c>
      <c r="D187" s="87" t="s">
        <v>79</v>
      </c>
      <c r="E187" s="87" t="s">
        <v>2856</v>
      </c>
      <c r="F187" s="25" t="str">
        <f>HYPERLINK("https://stat100.ameba.jp/tnk47/ratio20/illustrations/card/ill_78903_makiryoko03.jpg", "■")</f>
        <v>■</v>
      </c>
      <c r="G187" s="87" t="s">
        <v>2855</v>
      </c>
      <c r="L187" s="87" t="s">
        <v>3161</v>
      </c>
      <c r="M187" s="87">
        <v>13</v>
      </c>
      <c r="N187" s="87">
        <v>34948</v>
      </c>
      <c r="O187" s="87">
        <v>38532</v>
      </c>
      <c r="P187" s="87" t="s">
        <v>2854</v>
      </c>
      <c r="Q187" s="87" t="s">
        <v>2411</v>
      </c>
    </row>
    <row r="188" spans="1:17">
      <c r="A188" s="87" t="s">
        <v>2868</v>
      </c>
      <c r="B188" s="87">
        <v>79553</v>
      </c>
      <c r="C188" s="7" t="s">
        <v>158</v>
      </c>
      <c r="D188" s="87" t="s">
        <v>101</v>
      </c>
      <c r="E188" s="87" t="s">
        <v>2859</v>
      </c>
      <c r="F188" s="25" t="str">
        <f>HYPERLINK("https://stat100.ameba.jp/tnk47/ratio20/illustrations/card/ill_79553_dobutsudatemasamune03.jpg", "■")</f>
        <v>■</v>
      </c>
      <c r="G188" s="87" t="s">
        <v>2858</v>
      </c>
      <c r="L188" s="87" t="s">
        <v>3028</v>
      </c>
      <c r="M188" s="87">
        <v>13</v>
      </c>
      <c r="N188" s="87">
        <v>38532</v>
      </c>
      <c r="O188" s="87">
        <v>34948</v>
      </c>
      <c r="P188" s="87" t="s">
        <v>2857</v>
      </c>
      <c r="Q188" s="87" t="s">
        <v>2409</v>
      </c>
    </row>
    <row r="189" spans="1:17">
      <c r="A189" s="87" t="s">
        <v>2870</v>
      </c>
      <c r="B189" s="87">
        <v>80783</v>
      </c>
      <c r="C189" s="87" t="s">
        <v>100</v>
      </c>
      <c r="D189" s="87" t="s">
        <v>132</v>
      </c>
      <c r="E189" s="87" t="s">
        <v>2862</v>
      </c>
      <c r="F189" s="25" t="str">
        <f>HYPERLINK("https://stat100.ameba.jp/tnk47/ratio20/illustrations/card/ill_80783_ohanamiiwainokanesan03.jpg", "■")</f>
        <v>■</v>
      </c>
      <c r="G189" s="87" t="s">
        <v>2861</v>
      </c>
      <c r="L189" s="87" t="s">
        <v>3029</v>
      </c>
      <c r="M189" s="87">
        <v>13</v>
      </c>
      <c r="N189" s="87">
        <v>38532</v>
      </c>
      <c r="O189" s="87">
        <v>34948</v>
      </c>
      <c r="P189" s="87" t="s">
        <v>2860</v>
      </c>
      <c r="Q189" s="87" t="s">
        <v>246</v>
      </c>
    </row>
    <row r="191" spans="1:17">
      <c r="A191" s="101" t="s">
        <v>2897</v>
      </c>
    </row>
    <row r="192" spans="1:17">
      <c r="A192" s="101" t="s">
        <v>2910</v>
      </c>
      <c r="B192" s="4">
        <v>81333</v>
      </c>
      <c r="C192" s="4" t="s">
        <v>117</v>
      </c>
      <c r="D192" s="4" t="s">
        <v>101</v>
      </c>
      <c r="E192" s="4" t="s">
        <v>2900</v>
      </c>
      <c r="F192" s="25" t="str">
        <f>HYPERLINK("https://stat100.ameba.jp/tnk47/ratio20/illustrations/card/ill_81333_otokomatsuriishikawagoemon03.jpg", "■")</f>
        <v>■</v>
      </c>
      <c r="G192" s="4" t="s">
        <v>2899</v>
      </c>
      <c r="L192" s="7" t="s">
        <v>3100</v>
      </c>
      <c r="M192" s="101">
        <v>13</v>
      </c>
      <c r="N192" s="4">
        <v>34948</v>
      </c>
      <c r="O192" s="4">
        <v>38532</v>
      </c>
      <c r="P192" s="4" t="s">
        <v>2898</v>
      </c>
      <c r="Q192" s="4" t="s">
        <v>349</v>
      </c>
    </row>
    <row r="193" spans="1:17">
      <c r="A193" s="101" t="s">
        <v>2911</v>
      </c>
      <c r="B193" s="4">
        <v>81943</v>
      </c>
      <c r="C193" s="4" t="s">
        <v>100</v>
      </c>
      <c r="D193" s="4" t="s">
        <v>132</v>
      </c>
      <c r="E193" s="4" t="s">
        <v>2903</v>
      </c>
      <c r="F193" s="25" t="str">
        <f>HYPERLINK("https://stat100.ameba.jp/tnk47/ratio20/illustrations/card/ill_81943_goshikihime03.jpg", "■")</f>
        <v>■</v>
      </c>
      <c r="G193" s="4" t="s">
        <v>2902</v>
      </c>
      <c r="L193" s="7" t="s">
        <v>3101</v>
      </c>
      <c r="M193" s="101">
        <v>13</v>
      </c>
      <c r="N193" s="4">
        <v>38532</v>
      </c>
      <c r="O193" s="4">
        <v>34948</v>
      </c>
      <c r="P193" s="4" t="s">
        <v>2901</v>
      </c>
      <c r="Q193" s="4" t="s">
        <v>246</v>
      </c>
    </row>
    <row r="194" spans="1:17">
      <c r="A194" s="101" t="s">
        <v>2912</v>
      </c>
      <c r="B194" s="4">
        <v>82573</v>
      </c>
      <c r="C194" s="4" t="s">
        <v>106</v>
      </c>
      <c r="D194" s="4" t="s">
        <v>84</v>
      </c>
      <c r="E194" s="4" t="s">
        <v>2906</v>
      </c>
      <c r="F194" s="25" t="str">
        <f>HYPERLINK("https://stat100.ameba.jp/tnk47/ratio20/illustrations/card/ill_82573_harajukutakeshitadorichan03.jpg", "■")</f>
        <v>■</v>
      </c>
      <c r="G194" s="4" t="s">
        <v>2905</v>
      </c>
      <c r="L194" s="7" t="s">
        <v>3102</v>
      </c>
      <c r="M194" s="101">
        <v>13</v>
      </c>
      <c r="N194" s="4">
        <v>34948</v>
      </c>
      <c r="O194" s="4">
        <v>38532</v>
      </c>
      <c r="P194" s="4" t="s">
        <v>2904</v>
      </c>
      <c r="Q194" s="4" t="s">
        <v>354</v>
      </c>
    </row>
    <row r="195" spans="1:17">
      <c r="A195" s="101" t="s">
        <v>2913</v>
      </c>
      <c r="B195" s="4">
        <v>83123</v>
      </c>
      <c r="C195" s="4" t="s">
        <v>158</v>
      </c>
      <c r="D195" s="4" t="s">
        <v>79</v>
      </c>
      <c r="E195" s="4" t="s">
        <v>2909</v>
      </c>
      <c r="F195" s="25" t="str">
        <f>HYPERLINK("https://stat100.ameba.jp/tnk47/ratio20/illustrations/card/ill_83123_shireitousafaia03.jpg", "■")</f>
        <v>■</v>
      </c>
      <c r="G195" s="4" t="s">
        <v>2908</v>
      </c>
      <c r="L195" s="113" t="s">
        <v>3103</v>
      </c>
      <c r="M195" s="101">
        <v>13</v>
      </c>
      <c r="N195" s="4">
        <v>38532</v>
      </c>
      <c r="O195" s="4">
        <v>34948</v>
      </c>
      <c r="P195" s="4" t="s">
        <v>2907</v>
      </c>
      <c r="Q195" s="4" t="s">
        <v>207</v>
      </c>
    </row>
    <row r="197" spans="1:17">
      <c r="A197" s="106" t="s">
        <v>2921</v>
      </c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</row>
    <row r="198" spans="1:17">
      <c r="A198" s="106" t="s">
        <v>2934</v>
      </c>
      <c r="B198" s="106">
        <v>79043</v>
      </c>
      <c r="C198" s="106" t="s">
        <v>100</v>
      </c>
      <c r="D198" s="106" t="s">
        <v>68</v>
      </c>
      <c r="E198" s="106" t="s">
        <v>2924</v>
      </c>
      <c r="F198" s="25" t="str">
        <f>HYPERLINK("https://stat100.ameba.jp/tnk47/ratio20/illustrations/card/ill_79043_aidoruononotsu03.jpg", "■")</f>
        <v>■</v>
      </c>
      <c r="G198" s="106" t="s">
        <v>2923</v>
      </c>
      <c r="H198" s="106"/>
      <c r="I198" s="106"/>
      <c r="J198" s="106"/>
      <c r="K198" s="106"/>
      <c r="L198" s="7" t="s">
        <v>3121</v>
      </c>
      <c r="M198" s="106">
        <v>13</v>
      </c>
      <c r="N198" s="106">
        <v>38532</v>
      </c>
      <c r="O198" s="106">
        <v>34948</v>
      </c>
      <c r="P198" s="106" t="s">
        <v>2922</v>
      </c>
      <c r="Q198" s="106" t="s">
        <v>334</v>
      </c>
    </row>
    <row r="199" spans="1:17">
      <c r="A199" s="7" t="s">
        <v>2935</v>
      </c>
      <c r="B199" s="106">
        <v>79723</v>
      </c>
      <c r="C199" s="106" t="s">
        <v>106</v>
      </c>
      <c r="D199" s="106" t="s">
        <v>101</v>
      </c>
      <c r="E199" s="106" t="s">
        <v>2927</v>
      </c>
      <c r="F199" s="25" t="str">
        <f>HYPERLINK("https://stat100.ameba.jp/tnk47/ratio20/illustrations/card/ill_79723_inazumaraigoro03.jpg", "■")</f>
        <v>■</v>
      </c>
      <c r="G199" s="106" t="s">
        <v>2926</v>
      </c>
      <c r="H199" s="106"/>
      <c r="I199" s="106"/>
      <c r="J199" s="106"/>
      <c r="K199" s="106"/>
      <c r="L199" s="106" t="s">
        <v>3178</v>
      </c>
      <c r="M199" s="106">
        <v>13</v>
      </c>
      <c r="N199" s="106">
        <v>34948</v>
      </c>
      <c r="O199" s="106">
        <v>38532</v>
      </c>
      <c r="P199" s="106" t="s">
        <v>2925</v>
      </c>
      <c r="Q199" s="106" t="s">
        <v>3128</v>
      </c>
    </row>
    <row r="200" spans="1:17">
      <c r="A200" s="106" t="s">
        <v>2936</v>
      </c>
      <c r="B200" s="106">
        <v>80363</v>
      </c>
      <c r="C200" s="106" t="s">
        <v>106</v>
      </c>
      <c r="D200" s="106" t="s">
        <v>101</v>
      </c>
      <c r="E200" s="106" t="s">
        <v>2930</v>
      </c>
      <c r="F200" s="25" t="str">
        <f>HYPERLINK("https://stat100.ameba.jp/tnk47/ratio20/illustrations/card/ill_80363_hondatadakatsu03.jpg", "■")</f>
        <v>■</v>
      </c>
      <c r="G200" s="106" t="s">
        <v>2929</v>
      </c>
      <c r="H200" s="106"/>
      <c r="I200" s="106"/>
      <c r="J200" s="106"/>
      <c r="K200" s="106"/>
      <c r="L200" s="106" t="s">
        <v>3176</v>
      </c>
      <c r="M200" s="106">
        <v>13</v>
      </c>
      <c r="N200" s="106">
        <v>34948</v>
      </c>
      <c r="O200" s="106">
        <v>38532</v>
      </c>
      <c r="P200" s="106" t="s">
        <v>2928</v>
      </c>
      <c r="Q200" s="106" t="s">
        <v>3128</v>
      </c>
    </row>
    <row r="201" spans="1:17">
      <c r="A201" s="7" t="s">
        <v>2937</v>
      </c>
      <c r="B201" s="106">
        <v>80953</v>
      </c>
      <c r="C201" s="106" t="s">
        <v>112</v>
      </c>
      <c r="D201" s="106" t="s">
        <v>89</v>
      </c>
      <c r="E201" s="106" t="s">
        <v>2933</v>
      </c>
      <c r="F201" s="25" t="str">
        <f>HYPERLINK("https://stat100.ameba.jp/tnk47/ratio20/illustrations/card/ill_80953_akazomemon03.jpg", "■")</f>
        <v>■</v>
      </c>
      <c r="G201" s="106" t="s">
        <v>2932</v>
      </c>
      <c r="H201" s="106"/>
      <c r="I201" s="106"/>
      <c r="J201" s="106"/>
      <c r="K201" s="106"/>
      <c r="L201" s="108" t="s">
        <v>3177</v>
      </c>
      <c r="M201" s="106">
        <v>13</v>
      </c>
      <c r="N201" s="106">
        <v>34948</v>
      </c>
      <c r="O201" s="106">
        <v>38532</v>
      </c>
      <c r="P201" s="106" t="s">
        <v>2931</v>
      </c>
      <c r="Q201" s="106" t="s">
        <v>2817</v>
      </c>
    </row>
    <row r="204" spans="1:17" s="18" customFormat="1">
      <c r="A204" s="4" t="s">
        <v>12</v>
      </c>
    </row>
    <row r="205" spans="1:17">
      <c r="A205" s="123" t="s">
        <v>3071</v>
      </c>
    </row>
    <row r="206" spans="1:17">
      <c r="A206" s="123" t="s">
        <v>3093</v>
      </c>
      <c r="B206" s="4">
        <v>81473</v>
      </c>
      <c r="C206" s="4" t="s">
        <v>123</v>
      </c>
      <c r="D206" s="4" t="s">
        <v>107</v>
      </c>
      <c r="E206" s="4" t="s">
        <v>3075</v>
      </c>
      <c r="F206" s="25" t="str">
        <f>HYPERLINK("https://stat100.ameba.jp/tnk47/ratio20/illustrations/card/ill_81473_shirayukihimechokoretokeki03.jpg", "■")</f>
        <v>■</v>
      </c>
      <c r="G206" s="4" t="s">
        <v>3074</v>
      </c>
      <c r="L206" s="7" t="s">
        <v>2889</v>
      </c>
      <c r="M206" s="123">
        <v>13</v>
      </c>
      <c r="N206" s="4">
        <v>34948</v>
      </c>
      <c r="O206" s="4">
        <v>38532</v>
      </c>
      <c r="P206" s="4" t="s">
        <v>3073</v>
      </c>
      <c r="Q206" s="4" t="s">
        <v>168</v>
      </c>
    </row>
    <row r="207" spans="1:17">
      <c r="A207" s="123" t="s">
        <v>3094</v>
      </c>
      <c r="B207" s="4">
        <v>80333</v>
      </c>
      <c r="C207" s="4" t="s">
        <v>117</v>
      </c>
      <c r="D207" s="4" t="s">
        <v>107</v>
      </c>
      <c r="E207" s="4" t="s">
        <v>3077</v>
      </c>
      <c r="F207" s="25" t="str">
        <f>HYPERLINK("https://stat100.ameba.jp/tnk47/ratio20/illustrations/card/ill_80333_basubaga03.jpg", "■")</f>
        <v>■</v>
      </c>
      <c r="G207" s="4" t="s">
        <v>3076</v>
      </c>
      <c r="L207" s="7" t="s">
        <v>2889</v>
      </c>
      <c r="M207" s="123">
        <v>13</v>
      </c>
      <c r="N207" s="4">
        <v>34948</v>
      </c>
      <c r="O207" s="4">
        <v>38532</v>
      </c>
      <c r="P207" s="4" t="s">
        <v>3008</v>
      </c>
      <c r="Q207" s="4" t="s">
        <v>168</v>
      </c>
    </row>
    <row r="208" spans="1:17">
      <c r="A208" s="123" t="s">
        <v>3095</v>
      </c>
      <c r="B208" s="4">
        <v>82753</v>
      </c>
      <c r="C208" s="4" t="s">
        <v>158</v>
      </c>
      <c r="D208" s="4" t="s">
        <v>132</v>
      </c>
      <c r="E208" s="4" t="s">
        <v>3079</v>
      </c>
      <c r="F208" s="25" t="str">
        <f>HYPERLINK("https://stat100.ameba.jp/tnk47/ratio20/illustrations/card/ill_82753_tokachinoraijin03.jpg", "■")</f>
        <v>■</v>
      </c>
      <c r="G208" s="4" t="s">
        <v>3080</v>
      </c>
      <c r="L208" s="7" t="s">
        <v>2889</v>
      </c>
      <c r="M208" s="123">
        <v>13</v>
      </c>
      <c r="N208" s="4">
        <v>38532</v>
      </c>
      <c r="O208" s="4">
        <v>34948</v>
      </c>
      <c r="P208" s="4" t="s">
        <v>3078</v>
      </c>
      <c r="Q208" s="4" t="s">
        <v>246</v>
      </c>
    </row>
    <row r="209" spans="1:17">
      <c r="A209" s="123" t="s">
        <v>3096</v>
      </c>
      <c r="B209" s="4">
        <v>83303</v>
      </c>
      <c r="C209" s="4" t="s">
        <v>100</v>
      </c>
      <c r="D209" s="4" t="s">
        <v>107</v>
      </c>
      <c r="E209" s="4" t="s">
        <v>3083</v>
      </c>
      <c r="F209" s="25" t="str">
        <f>HYPERLINK("https://stat100.ameba.jp/tnk47/ratio20/illustrations/card/ill_83303_tainokashira03.jpg", "■")</f>
        <v>■</v>
      </c>
      <c r="G209" s="4" t="s">
        <v>3082</v>
      </c>
      <c r="L209" s="7" t="s">
        <v>3122</v>
      </c>
      <c r="M209" s="123">
        <v>13</v>
      </c>
      <c r="N209" s="4">
        <v>38532</v>
      </c>
      <c r="O209" s="4">
        <v>34948</v>
      </c>
      <c r="P209" s="4" t="s">
        <v>3081</v>
      </c>
      <c r="Q209" s="4" t="s">
        <v>252</v>
      </c>
    </row>
    <row r="210" spans="1:17">
      <c r="A210" s="123"/>
    </row>
    <row r="211" spans="1:17">
      <c r="A211" s="123" t="s">
        <v>3072</v>
      </c>
    </row>
    <row r="212" spans="1:17">
      <c r="A212" s="7" t="s">
        <v>3097</v>
      </c>
      <c r="B212" s="4">
        <v>79233</v>
      </c>
      <c r="C212" s="4" t="s">
        <v>112</v>
      </c>
      <c r="D212" s="4" t="s">
        <v>89</v>
      </c>
      <c r="E212" s="4" t="s">
        <v>3086</v>
      </c>
      <c r="F212" s="25" t="str">
        <f>HYPERLINK("https://stat100.ameba.jp/tnk47/ratio20/illustrations/card/ill_79233_odainokata03.jpg", "■")</f>
        <v>■</v>
      </c>
      <c r="G212" s="4" t="s">
        <v>3085</v>
      </c>
      <c r="L212" s="7" t="s">
        <v>2718</v>
      </c>
      <c r="M212" s="123">
        <v>13</v>
      </c>
      <c r="N212" s="4">
        <v>38532</v>
      </c>
      <c r="O212" s="4">
        <v>34948</v>
      </c>
      <c r="P212" s="4" t="s">
        <v>3084</v>
      </c>
      <c r="Q212" s="4" t="s">
        <v>146</v>
      </c>
    </row>
    <row r="213" spans="1:17">
      <c r="A213" s="123" t="s">
        <v>2868</v>
      </c>
      <c r="B213" s="4">
        <v>79553</v>
      </c>
      <c r="C213" s="4" t="s">
        <v>158</v>
      </c>
      <c r="D213" s="4" t="s">
        <v>101</v>
      </c>
      <c r="E213" s="4" t="s">
        <v>2859</v>
      </c>
      <c r="F213" s="25" t="str">
        <f>HYPERLINK("https://stat100.ameba.jp/tnk47/ratio20/illustrations/card/ill_79553_dobutsudatemasamune03.jpg", "■")</f>
        <v>■</v>
      </c>
      <c r="G213" s="4" t="s">
        <v>2858</v>
      </c>
      <c r="L213" s="7" t="s">
        <v>3120</v>
      </c>
      <c r="M213" s="123">
        <v>13</v>
      </c>
      <c r="N213" s="4">
        <v>38532</v>
      </c>
      <c r="O213" s="4">
        <v>34948</v>
      </c>
      <c r="P213" s="4" t="s">
        <v>2857</v>
      </c>
      <c r="Q213" s="4" t="s">
        <v>2409</v>
      </c>
    </row>
    <row r="214" spans="1:17">
      <c r="A214" s="123" t="s">
        <v>3098</v>
      </c>
      <c r="B214" s="4">
        <v>76533</v>
      </c>
      <c r="C214" s="4" t="s">
        <v>106</v>
      </c>
      <c r="D214" s="4" t="s">
        <v>196</v>
      </c>
      <c r="E214" s="4" t="s">
        <v>3089</v>
      </c>
      <c r="F214" s="25" t="str">
        <f>HYPERLINK("https://stat100.ameba.jp/tnk47/ratio20/illustrations/card/ill_76533_biyokaifurutsubakinorei03.jpg", "■")</f>
        <v>■</v>
      </c>
      <c r="G214" s="4" t="s">
        <v>3088</v>
      </c>
      <c r="L214" s="7" t="s">
        <v>2718</v>
      </c>
      <c r="M214" s="123">
        <v>13</v>
      </c>
      <c r="N214" s="4">
        <v>34948</v>
      </c>
      <c r="O214" s="4">
        <v>38532</v>
      </c>
      <c r="P214" s="4" t="s">
        <v>3087</v>
      </c>
      <c r="Q214" s="4" t="s">
        <v>3129</v>
      </c>
    </row>
    <row r="215" spans="1:17">
      <c r="A215" s="123" t="s">
        <v>3099</v>
      </c>
      <c r="B215" s="4">
        <v>84503</v>
      </c>
      <c r="C215" s="4" t="s">
        <v>117</v>
      </c>
      <c r="D215" s="4" t="s">
        <v>132</v>
      </c>
      <c r="E215" s="4" t="s">
        <v>3092</v>
      </c>
      <c r="F215" s="25" t="str">
        <f>HYPERLINK("https://stat100.ameba.jp/tnk47/ratio20/illustrations/card/ill_84503_haroinamaminokitsune03.jpg", "■")</f>
        <v>■</v>
      </c>
      <c r="G215" s="4" t="s">
        <v>3091</v>
      </c>
      <c r="L215" s="7" t="s">
        <v>2718</v>
      </c>
      <c r="M215" s="123">
        <v>13</v>
      </c>
      <c r="N215" s="4">
        <v>38532</v>
      </c>
      <c r="O215" s="4">
        <v>34948</v>
      </c>
      <c r="P215" s="4" t="s">
        <v>3090</v>
      </c>
      <c r="Q215" s="4" t="s">
        <v>246</v>
      </c>
    </row>
    <row r="217" spans="1:17">
      <c r="A217" s="134" t="s">
        <v>3179</v>
      </c>
    </row>
    <row r="218" spans="1:17">
      <c r="A218" s="7" t="s">
        <v>3196</v>
      </c>
      <c r="B218" s="4">
        <v>82293</v>
      </c>
      <c r="C218" s="4" t="s">
        <v>112</v>
      </c>
      <c r="D218" s="4" t="s">
        <v>107</v>
      </c>
      <c r="E218" s="4" t="s">
        <v>3183</v>
      </c>
      <c r="F218" s="25" t="str">
        <f>HYPERLINK("https://stat100.ameba.jp/tnk47/ratio20/illustrations/card/ill_82293_taiwanramen03.jpg", "■")</f>
        <v>■</v>
      </c>
      <c r="G218" s="4" t="s">
        <v>3182</v>
      </c>
      <c r="L218" s="7" t="s">
        <v>2718</v>
      </c>
      <c r="M218" s="134">
        <v>13</v>
      </c>
      <c r="N218" s="4">
        <v>38532</v>
      </c>
      <c r="O218" s="4">
        <v>34948</v>
      </c>
      <c r="P218" s="4" t="s">
        <v>3181</v>
      </c>
      <c r="Q218" s="4" t="s">
        <v>3180</v>
      </c>
    </row>
    <row r="219" spans="1:17">
      <c r="A219" s="7" t="s">
        <v>3197</v>
      </c>
      <c r="B219" s="4">
        <v>85393</v>
      </c>
      <c r="C219" s="4" t="s">
        <v>100</v>
      </c>
      <c r="D219" s="4" t="s">
        <v>132</v>
      </c>
      <c r="E219" s="4" t="s">
        <v>3187</v>
      </c>
      <c r="F219" s="25" t="str">
        <f>HYPERLINK("https://stat100.ameba.jp/tnk47/ratio20/illustrations/card/ill_85393_xmasmomotarou03.jpg", "■")</f>
        <v>■</v>
      </c>
      <c r="G219" s="4" t="s">
        <v>3186</v>
      </c>
      <c r="L219" s="7" t="s">
        <v>2718</v>
      </c>
      <c r="M219" s="134">
        <v>13</v>
      </c>
      <c r="N219" s="4">
        <v>38532</v>
      </c>
      <c r="O219" s="4">
        <v>34948</v>
      </c>
      <c r="P219" s="4" t="s">
        <v>3185</v>
      </c>
      <c r="Q219" s="4" t="s">
        <v>3184</v>
      </c>
    </row>
    <row r="220" spans="1:17">
      <c r="A220" s="7" t="s">
        <v>3198</v>
      </c>
      <c r="B220" s="4">
        <v>86133</v>
      </c>
      <c r="C220" s="4" t="s">
        <v>123</v>
      </c>
      <c r="D220" s="4" t="s">
        <v>79</v>
      </c>
      <c r="E220" s="4" t="s">
        <v>3191</v>
      </c>
      <c r="F220" s="25" t="str">
        <f>HYPERLINK("https://stat100.ameba.jp/tnk47/ratio20/illustrations/card/ill_86133_gantankusumototakako03.jpg", "■")</f>
        <v>■</v>
      </c>
      <c r="G220" s="4" t="s">
        <v>3190</v>
      </c>
      <c r="L220" s="7" t="s">
        <v>2718</v>
      </c>
      <c r="M220" s="134">
        <v>13</v>
      </c>
      <c r="N220" s="4">
        <v>34948</v>
      </c>
      <c r="O220" s="4">
        <v>38532</v>
      </c>
      <c r="P220" s="4" t="s">
        <v>3189</v>
      </c>
      <c r="Q220" s="4" t="s">
        <v>3188</v>
      </c>
    </row>
    <row r="221" spans="1:17">
      <c r="A221" s="7" t="s">
        <v>3199</v>
      </c>
      <c r="B221" s="4">
        <v>86763</v>
      </c>
      <c r="C221" s="4" t="s">
        <v>106</v>
      </c>
      <c r="D221" s="4" t="s">
        <v>84</v>
      </c>
      <c r="E221" s="4" t="s">
        <v>3195</v>
      </c>
      <c r="F221" s="25" t="str">
        <f>HYPERLINK("https://stat100.ameba.jp/tnk47/ratio20/illustrations/card/ill_86763_asakusanoraimon03.jpg", "■")</f>
        <v>■</v>
      </c>
      <c r="G221" s="4" t="s">
        <v>3194</v>
      </c>
      <c r="L221" s="7" t="s">
        <v>2718</v>
      </c>
      <c r="M221" s="134">
        <v>13</v>
      </c>
      <c r="N221" s="4">
        <v>38532</v>
      </c>
      <c r="O221" s="4">
        <v>34948</v>
      </c>
      <c r="P221" s="4" t="s">
        <v>3193</v>
      </c>
      <c r="Q221" s="4" t="s">
        <v>3192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5B279-D3E8-4BAC-A275-E4BA758423C5}">
  <dimension ref="A1:M1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10.4140625" style="4" customWidth="1"/>
    <col min="3" max="3" width="5.4140625" style="4" customWidth="1"/>
    <col min="4" max="4" width="25.75" style="4" customWidth="1"/>
    <col min="5" max="5" width="3.75" style="4" customWidth="1"/>
    <col min="6" max="6" width="16.08203125" style="4" hidden="1" customWidth="1"/>
    <col min="7" max="8" width="20.75" style="4" hidden="1" customWidth="1"/>
    <col min="9" max="9" width="4.75" style="4" customWidth="1"/>
    <col min="10" max="11" width="7.25" style="4" customWidth="1"/>
    <col min="12" max="12" width="15.6640625" style="4" hidden="1" customWidth="1"/>
    <col min="13" max="13" width="71" style="4" customWidth="1"/>
    <col min="14" max="16384" width="8.9140625" style="4"/>
  </cols>
  <sheetData>
    <row r="1" spans="1:1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542</v>
      </c>
      <c r="H1" s="2" t="s">
        <v>543</v>
      </c>
      <c r="I1" s="2" t="s">
        <v>7</v>
      </c>
      <c r="J1" s="2" t="s">
        <v>544</v>
      </c>
      <c r="K1" s="2" t="s">
        <v>545</v>
      </c>
      <c r="L1" s="2" t="s">
        <v>10</v>
      </c>
      <c r="M1" s="1" t="s">
        <v>11</v>
      </c>
    </row>
    <row r="2" spans="1:13">
      <c r="D2" s="6"/>
      <c r="E2" s="6"/>
    </row>
    <row r="3" spans="1:13">
      <c r="A3" s="4">
        <v>18163</v>
      </c>
      <c r="B3" s="4" t="s">
        <v>546</v>
      </c>
      <c r="C3" s="4" t="s">
        <v>43</v>
      </c>
      <c r="D3" s="5" t="s">
        <v>547</v>
      </c>
      <c r="E3" s="6" t="str">
        <f>HYPERLINK("http://stat100.ameba.jp/tnk47/ratio20/illustrations/card/ill_18163_byakko03.jpg", "■")</f>
        <v>■</v>
      </c>
      <c r="F3" s="4" t="s">
        <v>548</v>
      </c>
      <c r="H3" s="4" t="s">
        <v>2787</v>
      </c>
      <c r="I3" s="4">
        <v>17</v>
      </c>
      <c r="J3" s="4">
        <v>53825</v>
      </c>
      <c r="K3" s="4">
        <v>44050</v>
      </c>
      <c r="L3" s="4" t="s">
        <v>549</v>
      </c>
      <c r="M3" s="8" t="s">
        <v>550</v>
      </c>
    </row>
    <row r="4" spans="1:13" ht="36">
      <c r="A4" s="4">
        <v>18193</v>
      </c>
      <c r="B4" s="4" t="s">
        <v>551</v>
      </c>
      <c r="C4" s="4" t="s">
        <v>552</v>
      </c>
      <c r="D4" s="5" t="s">
        <v>553</v>
      </c>
      <c r="E4" s="6" t="str">
        <f>HYPERLINK("http://stat100.ameba.jp/tnk47/ratio20/illustrations/card/ill_18193_genbu03.jpg", "■")</f>
        <v>■</v>
      </c>
      <c r="F4" s="4" t="s">
        <v>554</v>
      </c>
      <c r="G4" s="4" t="s">
        <v>555</v>
      </c>
      <c r="I4" s="4" t="s">
        <v>522</v>
      </c>
      <c r="J4" s="4" t="s">
        <v>522</v>
      </c>
      <c r="K4" s="4" t="s">
        <v>522</v>
      </c>
      <c r="L4" s="4" t="s">
        <v>556</v>
      </c>
      <c r="M4" s="8" t="s">
        <v>2420</v>
      </c>
    </row>
    <row r="5" spans="1:13">
      <c r="A5" s="4">
        <v>21523</v>
      </c>
      <c r="B5" s="4" t="s">
        <v>551</v>
      </c>
      <c r="C5" s="4" t="s">
        <v>43</v>
      </c>
      <c r="D5" s="5" t="s">
        <v>557</v>
      </c>
      <c r="E5" s="6" t="str">
        <f>HYPERLINK("http://stat100.ameba.jp/tnk47/ratio20/illustrations/card/ill_21523_seiryu03.jpg", "■")</f>
        <v>■</v>
      </c>
      <c r="F5" s="4" t="s">
        <v>558</v>
      </c>
      <c r="G5" s="4" t="s">
        <v>559</v>
      </c>
      <c r="I5" s="4" t="s">
        <v>522</v>
      </c>
      <c r="J5" s="4" t="s">
        <v>522</v>
      </c>
      <c r="K5" s="4" t="s">
        <v>522</v>
      </c>
      <c r="L5" s="4" t="s">
        <v>560</v>
      </c>
      <c r="M5" s="8" t="s">
        <v>561</v>
      </c>
    </row>
    <row r="6" spans="1:13" ht="36">
      <c r="A6" s="4">
        <v>35723</v>
      </c>
      <c r="B6" s="4" t="s">
        <v>546</v>
      </c>
      <c r="C6" s="4" t="s">
        <v>552</v>
      </c>
      <c r="D6" s="5" t="s">
        <v>562</v>
      </c>
      <c r="E6" s="6" t="str">
        <f>HYPERLINK("http://stat100.ameba.jp/tnk47/ratio20/illustrations/card/ill_35723_suzaku03.jpg", "■")</f>
        <v>■</v>
      </c>
      <c r="F6" s="4" t="s">
        <v>563</v>
      </c>
      <c r="G6" s="4" t="s">
        <v>564</v>
      </c>
      <c r="I6" s="4">
        <v>17</v>
      </c>
      <c r="J6" s="4">
        <v>43404</v>
      </c>
      <c r="K6" s="4">
        <v>52584</v>
      </c>
      <c r="L6" s="4" t="s">
        <v>565</v>
      </c>
      <c r="M6" s="8" t="s">
        <v>2421</v>
      </c>
    </row>
    <row r="7" spans="1:13" ht="36">
      <c r="A7" s="4">
        <v>44663</v>
      </c>
      <c r="B7" s="4" t="s">
        <v>546</v>
      </c>
      <c r="C7" s="4" t="s">
        <v>33</v>
      </c>
      <c r="D7" s="5" t="s">
        <v>566</v>
      </c>
      <c r="E7" s="6" t="str">
        <f>HYPERLINK("http://stat100.ameba.jp/tnk47/ratio20/illustrations/card/ill_44663_dotombori03.jpg", "■")</f>
        <v>■</v>
      </c>
      <c r="F7" s="4" t="s">
        <v>567</v>
      </c>
      <c r="G7" s="4" t="s">
        <v>568</v>
      </c>
      <c r="I7" s="4">
        <v>17</v>
      </c>
      <c r="J7" s="4">
        <v>62468</v>
      </c>
      <c r="K7" s="4">
        <v>33641</v>
      </c>
      <c r="L7" s="4" t="s">
        <v>569</v>
      </c>
      <c r="M7" s="8" t="s">
        <v>2422</v>
      </c>
    </row>
    <row r="8" spans="1:13" ht="36">
      <c r="A8" s="4">
        <v>46453</v>
      </c>
      <c r="B8" s="4" t="s">
        <v>546</v>
      </c>
      <c r="C8" s="4" t="s">
        <v>570</v>
      </c>
      <c r="D8" s="5" t="s">
        <v>571</v>
      </c>
      <c r="E8" s="6" t="str">
        <f>HYPERLINK("http://stat100.ameba.jp/tnk47/ratio20/illustrations/card/ill_46453_kinotsurayuki03.jpg", "■")</f>
        <v>■</v>
      </c>
      <c r="F8" s="4" t="s">
        <v>572</v>
      </c>
      <c r="G8" s="4" t="s">
        <v>573</v>
      </c>
      <c r="I8" s="4" t="s">
        <v>522</v>
      </c>
      <c r="J8" s="4" t="s">
        <v>522</v>
      </c>
      <c r="K8" s="4" t="s">
        <v>522</v>
      </c>
      <c r="L8" s="4" t="s">
        <v>574</v>
      </c>
      <c r="M8" s="8" t="s">
        <v>2423</v>
      </c>
    </row>
    <row r="9" spans="1:13" ht="36">
      <c r="A9" s="4">
        <v>47493</v>
      </c>
      <c r="B9" s="4" t="s">
        <v>551</v>
      </c>
      <c r="C9" s="4" t="s">
        <v>53</v>
      </c>
      <c r="D9" s="5" t="s">
        <v>575</v>
      </c>
      <c r="E9" s="6" t="str">
        <f>HYPERLINK("http://stat100.ameba.jp/tnk47/ratio20/illustrations/card/ill_47493_imori03.jpg", "■")</f>
        <v>■</v>
      </c>
      <c r="F9" s="4" t="s">
        <v>576</v>
      </c>
      <c r="I9" s="4" t="s">
        <v>522</v>
      </c>
      <c r="J9" s="4" t="s">
        <v>522</v>
      </c>
      <c r="K9" s="4" t="s">
        <v>522</v>
      </c>
      <c r="L9" s="4" t="s">
        <v>577</v>
      </c>
      <c r="M9" s="8" t="s">
        <v>578</v>
      </c>
    </row>
    <row r="10" spans="1:13">
      <c r="A10" s="4">
        <v>50383</v>
      </c>
      <c r="B10" s="4" t="s">
        <v>551</v>
      </c>
      <c r="C10" s="4" t="s">
        <v>48</v>
      </c>
      <c r="D10" s="5" t="s">
        <v>579</v>
      </c>
      <c r="E10" s="6" t="str">
        <f>HYPERLINK("http://stat100.ameba.jp/tnk47/ratio20/illustrations/card/ill_50383_nagaotamekage03.jpg", "■")</f>
        <v>■</v>
      </c>
      <c r="F10" s="4" t="s">
        <v>580</v>
      </c>
      <c r="I10" s="4" t="s">
        <v>522</v>
      </c>
      <c r="J10" s="4" t="s">
        <v>522</v>
      </c>
      <c r="K10" s="4" t="s">
        <v>522</v>
      </c>
      <c r="L10" s="8" t="s">
        <v>522</v>
      </c>
      <c r="M10" s="8" t="s">
        <v>522</v>
      </c>
    </row>
    <row r="11" spans="1:13" ht="36">
      <c r="A11" s="4">
        <v>50393</v>
      </c>
      <c r="B11" s="4" t="s">
        <v>546</v>
      </c>
      <c r="C11" s="4" t="s">
        <v>27</v>
      </c>
      <c r="D11" s="5" t="s">
        <v>581</v>
      </c>
      <c r="E11" s="6" t="str">
        <f>HYPERLINK("http://stat100.ameba.jp/tnk47/ratio20/illustrations/card/ill_50393_kyoame03.jpg", "■")</f>
        <v>■</v>
      </c>
      <c r="F11" s="4" t="s">
        <v>582</v>
      </c>
      <c r="G11" s="4" t="s">
        <v>568</v>
      </c>
      <c r="I11" s="4" t="s">
        <v>522</v>
      </c>
      <c r="J11" s="4" t="s">
        <v>522</v>
      </c>
      <c r="K11" s="4" t="s">
        <v>522</v>
      </c>
      <c r="L11" s="4" t="s">
        <v>583</v>
      </c>
      <c r="M11" s="8" t="s">
        <v>2423</v>
      </c>
    </row>
    <row r="12" spans="1:13">
      <c r="A12" s="4">
        <v>51323</v>
      </c>
      <c r="B12" s="4" t="s">
        <v>551</v>
      </c>
      <c r="C12" s="4" t="s">
        <v>43</v>
      </c>
      <c r="D12" s="5" t="s">
        <v>584</v>
      </c>
      <c r="E12" s="6" t="str">
        <f>HYPERLINK("http://stat100.ameba.jp/tnk47/ratio20/illustrations/card/ill_51323_jorurihime03.jpg", "■")</f>
        <v>■</v>
      </c>
      <c r="F12" s="4" t="s">
        <v>585</v>
      </c>
      <c r="I12" s="4" t="s">
        <v>522</v>
      </c>
      <c r="J12" s="4" t="s">
        <v>522</v>
      </c>
      <c r="K12" s="4" t="s">
        <v>522</v>
      </c>
      <c r="L12" s="8" t="s">
        <v>522</v>
      </c>
      <c r="M12" s="8" t="s">
        <v>522</v>
      </c>
    </row>
    <row r="13" spans="1:13">
      <c r="D13" s="6"/>
      <c r="E13" s="6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C2CF-6ABC-4117-801C-3BFE1AAB4E3A}">
  <dimension ref="A1:Y138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08203125" style="4" customWidth="1"/>
    <col min="2" max="2" width="6.4140625" style="4" customWidth="1"/>
    <col min="3" max="3" width="5.58203125" style="4" customWidth="1"/>
    <col min="4" max="4" width="6.08203125" style="4" customWidth="1"/>
    <col min="5" max="5" width="10.58203125" style="4" customWidth="1"/>
    <col min="6" max="6" width="30.9140625" style="4" customWidth="1"/>
    <col min="7" max="7" width="3.75" style="4" customWidth="1"/>
    <col min="8" max="8" width="25.6640625" style="4" hidden="1" customWidth="1"/>
    <col min="9" max="19" width="4.9140625" style="4" hidden="1" customWidth="1"/>
    <col min="20" max="20" width="20.9140625" style="4" hidden="1" customWidth="1"/>
    <col min="21" max="21" width="4.9140625" style="4" customWidth="1"/>
    <col min="22" max="23" width="7.33203125" style="4" customWidth="1"/>
    <col min="24" max="24" width="15.6640625" style="4" hidden="1" customWidth="1"/>
    <col min="25" max="25" width="70.9140625" style="4" customWidth="1"/>
    <col min="26" max="16384" width="8.9140625" style="4"/>
  </cols>
  <sheetData>
    <row r="1" spans="1:25">
      <c r="A1" s="2" t="s">
        <v>0</v>
      </c>
      <c r="B1" s="2" t="s">
        <v>586</v>
      </c>
      <c r="C1" s="2" t="s">
        <v>3</v>
      </c>
      <c r="D1" s="2" t="s">
        <v>587</v>
      </c>
      <c r="E1" s="2" t="s">
        <v>2</v>
      </c>
      <c r="F1" s="2" t="s">
        <v>4</v>
      </c>
      <c r="G1" s="2" t="s">
        <v>5</v>
      </c>
      <c r="H1" s="2" t="s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 t="s">
        <v>588</v>
      </c>
      <c r="T1" s="2" t="s">
        <v>543</v>
      </c>
      <c r="U1" s="2" t="s">
        <v>589</v>
      </c>
      <c r="V1" s="2" t="s">
        <v>8</v>
      </c>
      <c r="W1" s="2" t="s">
        <v>9</v>
      </c>
      <c r="X1" s="2" t="s">
        <v>10</v>
      </c>
      <c r="Y1" s="1" t="s">
        <v>11</v>
      </c>
    </row>
    <row r="2" spans="1:25" ht="18.5" customHeight="1"/>
    <row r="3" spans="1:25" ht="18.5" customHeight="1">
      <c r="A3" s="4" t="s">
        <v>590</v>
      </c>
    </row>
    <row r="4" spans="1:25" ht="18.5" customHeight="1">
      <c r="A4" s="137" t="s">
        <v>591</v>
      </c>
      <c r="B4" s="4">
        <v>41881</v>
      </c>
      <c r="C4" s="4" t="s">
        <v>101</v>
      </c>
      <c r="D4" s="4" t="s">
        <v>592</v>
      </c>
      <c r="E4" s="4" t="s">
        <v>593</v>
      </c>
      <c r="F4" s="12" t="s">
        <v>594</v>
      </c>
      <c r="G4" s="6" t="str">
        <f>HYPERLINK("https://stat100.ameba.jp/tnk47/ratio20/illustrations/card/ill_41881_uizuerenrivai01.jpg", "■")</f>
        <v>■</v>
      </c>
      <c r="H4" s="4" t="s">
        <v>595</v>
      </c>
      <c r="U4" s="4">
        <v>7</v>
      </c>
      <c r="V4" s="4">
        <v>11970</v>
      </c>
      <c r="W4" s="4">
        <v>13300</v>
      </c>
      <c r="X4" s="4" t="s">
        <v>596</v>
      </c>
      <c r="Y4" s="4" t="s">
        <v>597</v>
      </c>
    </row>
    <row r="5" spans="1:25" ht="18.5" customHeight="1">
      <c r="A5" s="137"/>
      <c r="B5" s="4">
        <v>41891</v>
      </c>
      <c r="C5" s="4" t="s">
        <v>101</v>
      </c>
      <c r="D5" s="4" t="s">
        <v>592</v>
      </c>
      <c r="E5" s="4" t="s">
        <v>593</v>
      </c>
      <c r="F5" s="12" t="s">
        <v>598</v>
      </c>
      <c r="G5" s="6" t="str">
        <f>HYPERLINK("https://stat100.ameba.jp/tnk47/ratio20/illustrations/card/ill_41891_uizurivaieren01.jpg", "■")</f>
        <v>■</v>
      </c>
      <c r="H5" s="4" t="s">
        <v>595</v>
      </c>
      <c r="U5" s="4">
        <v>7</v>
      </c>
      <c r="V5" s="4">
        <v>11970</v>
      </c>
      <c r="W5" s="4">
        <v>13300</v>
      </c>
      <c r="X5" s="4" t="s">
        <v>599</v>
      </c>
      <c r="Y5" s="4" t="s">
        <v>600</v>
      </c>
    </row>
    <row r="6" spans="1:25" ht="18.5" customHeight="1">
      <c r="A6" s="137"/>
      <c r="B6" s="4">
        <v>41903</v>
      </c>
      <c r="C6" s="4" t="s">
        <v>101</v>
      </c>
      <c r="D6" s="4" t="s">
        <v>601</v>
      </c>
      <c r="E6" s="4" t="s">
        <v>602</v>
      </c>
      <c r="F6" s="5" t="s">
        <v>603</v>
      </c>
      <c r="G6" s="6" t="str">
        <f>HYPERLINK("https://stat100.ameba.jp/tnk47/ratio20/illustrations/card/ill_41903_erenandorivai03.jpg", "■")</f>
        <v>■</v>
      </c>
      <c r="H6" s="4" t="s">
        <v>604</v>
      </c>
      <c r="U6" s="4">
        <v>17</v>
      </c>
      <c r="V6" s="4">
        <v>55169</v>
      </c>
      <c r="W6" s="4">
        <v>58442</v>
      </c>
      <c r="X6" s="4" t="s">
        <v>605</v>
      </c>
      <c r="Y6" s="4" t="s">
        <v>606</v>
      </c>
    </row>
    <row r="7" spans="1:25" ht="18.5" customHeight="1">
      <c r="A7" s="137" t="s">
        <v>607</v>
      </c>
      <c r="B7" s="4" t="s">
        <v>522</v>
      </c>
      <c r="C7" s="4" t="s">
        <v>43</v>
      </c>
      <c r="D7" s="4" t="s">
        <v>592</v>
      </c>
      <c r="E7" s="4" t="s">
        <v>608</v>
      </c>
      <c r="F7" s="4" t="s">
        <v>609</v>
      </c>
      <c r="G7" s="4" t="s">
        <v>522</v>
      </c>
      <c r="H7" s="4" t="s">
        <v>610</v>
      </c>
      <c r="U7" s="4">
        <v>7</v>
      </c>
      <c r="V7" s="4">
        <v>13300</v>
      </c>
      <c r="W7" s="4">
        <v>11970</v>
      </c>
      <c r="X7" s="4" t="s">
        <v>611</v>
      </c>
      <c r="Y7" s="4" t="s">
        <v>612</v>
      </c>
    </row>
    <row r="8" spans="1:25" ht="18.5" customHeight="1">
      <c r="A8" s="137"/>
      <c r="B8" s="4" t="s">
        <v>522</v>
      </c>
      <c r="C8" s="4" t="s">
        <v>43</v>
      </c>
      <c r="D8" s="4" t="s">
        <v>592</v>
      </c>
      <c r="E8" s="4" t="s">
        <v>613</v>
      </c>
      <c r="F8" s="4" t="s">
        <v>614</v>
      </c>
      <c r="G8" s="4" t="s">
        <v>522</v>
      </c>
      <c r="H8" s="4" t="s">
        <v>615</v>
      </c>
      <c r="U8" s="4">
        <v>7</v>
      </c>
      <c r="V8" s="4">
        <v>13300</v>
      </c>
      <c r="W8" s="4">
        <v>11970</v>
      </c>
      <c r="X8" s="4" t="s">
        <v>616</v>
      </c>
      <c r="Y8" s="4" t="s">
        <v>617</v>
      </c>
    </row>
    <row r="9" spans="1:25" ht="18.5" customHeight="1">
      <c r="A9" s="137"/>
      <c r="B9" s="4" t="s">
        <v>522</v>
      </c>
      <c r="C9" s="4" t="s">
        <v>43</v>
      </c>
      <c r="D9" s="4" t="s">
        <v>601</v>
      </c>
      <c r="E9" s="4" t="s">
        <v>602</v>
      </c>
      <c r="F9" s="4" t="s">
        <v>618</v>
      </c>
      <c r="G9" s="4" t="s">
        <v>522</v>
      </c>
      <c r="H9" s="4" t="s">
        <v>619</v>
      </c>
      <c r="U9" s="4">
        <v>17</v>
      </c>
      <c r="V9" s="4">
        <v>58442</v>
      </c>
      <c r="W9" s="4">
        <v>55169</v>
      </c>
      <c r="X9" s="4" t="s">
        <v>620</v>
      </c>
      <c r="Y9" s="4" t="s">
        <v>621</v>
      </c>
    </row>
    <row r="10" spans="1:25" ht="18.5" customHeight="1">
      <c r="A10" s="137" t="s">
        <v>622</v>
      </c>
      <c r="B10" s="4" t="s">
        <v>522</v>
      </c>
      <c r="C10" s="4" t="s">
        <v>216</v>
      </c>
      <c r="D10" s="4" t="s">
        <v>592</v>
      </c>
      <c r="E10" s="4" t="s">
        <v>593</v>
      </c>
      <c r="F10" s="4" t="s">
        <v>623</v>
      </c>
      <c r="G10" s="55" t="s">
        <v>522</v>
      </c>
      <c r="H10" s="4" t="s">
        <v>595</v>
      </c>
      <c r="U10" s="4">
        <v>7</v>
      </c>
      <c r="V10" s="4">
        <v>13300</v>
      </c>
      <c r="W10" s="4">
        <v>11970</v>
      </c>
      <c r="X10" s="4" t="s">
        <v>624</v>
      </c>
      <c r="Y10" s="4" t="s">
        <v>625</v>
      </c>
    </row>
    <row r="11" spans="1:25" ht="18.5" customHeight="1">
      <c r="A11" s="137"/>
      <c r="B11" s="4" t="s">
        <v>522</v>
      </c>
      <c r="C11" s="4" t="s">
        <v>216</v>
      </c>
      <c r="D11" s="4" t="s">
        <v>592</v>
      </c>
      <c r="E11" s="4" t="s">
        <v>593</v>
      </c>
      <c r="F11" s="4" t="s">
        <v>626</v>
      </c>
      <c r="G11" s="55" t="s">
        <v>522</v>
      </c>
      <c r="H11" s="4" t="s">
        <v>595</v>
      </c>
      <c r="U11" s="4">
        <v>7</v>
      </c>
      <c r="V11" s="4">
        <v>13300</v>
      </c>
      <c r="W11" s="4">
        <v>11970</v>
      </c>
      <c r="X11" s="4" t="s">
        <v>627</v>
      </c>
      <c r="Y11" s="4" t="s">
        <v>628</v>
      </c>
    </row>
    <row r="12" spans="1:25" ht="18.5" customHeight="1">
      <c r="A12" s="137"/>
      <c r="B12" s="4">
        <v>44163</v>
      </c>
      <c r="C12" s="4" t="s">
        <v>216</v>
      </c>
      <c r="D12" s="4" t="s">
        <v>601</v>
      </c>
      <c r="E12" s="4" t="s">
        <v>602</v>
      </c>
      <c r="F12" s="5" t="s">
        <v>629</v>
      </c>
      <c r="G12" s="25" t="str">
        <f>HYPERLINK("https://stat100.ameba.jp/tnk47/ratio20/illustrations/card/ill_44163_urutoramammebiusu03.jpg", "■")</f>
        <v>■</v>
      </c>
      <c r="H12" s="4" t="s">
        <v>630</v>
      </c>
      <c r="U12" s="4">
        <v>17</v>
      </c>
      <c r="V12" s="4">
        <v>58442</v>
      </c>
      <c r="W12" s="4">
        <v>55169</v>
      </c>
      <c r="X12" s="4" t="s">
        <v>631</v>
      </c>
      <c r="Y12" s="4" t="s">
        <v>632</v>
      </c>
    </row>
    <row r="13" spans="1:25" ht="18.5" customHeight="1">
      <c r="A13" s="137" t="s">
        <v>633</v>
      </c>
      <c r="B13" s="4" t="s">
        <v>634</v>
      </c>
      <c r="C13" s="4" t="s">
        <v>634</v>
      </c>
      <c r="D13" s="4" t="s">
        <v>634</v>
      </c>
      <c r="E13" s="4" t="s">
        <v>634</v>
      </c>
      <c r="F13" s="4" t="s">
        <v>635</v>
      </c>
      <c r="G13" s="19" t="s">
        <v>634</v>
      </c>
      <c r="H13" s="19" t="s">
        <v>634</v>
      </c>
      <c r="I13" s="19" t="s">
        <v>634</v>
      </c>
      <c r="J13" s="19" t="s">
        <v>634</v>
      </c>
      <c r="K13" s="19" t="s">
        <v>634</v>
      </c>
      <c r="L13" s="19" t="s">
        <v>634</v>
      </c>
      <c r="M13" s="19" t="s">
        <v>634</v>
      </c>
      <c r="N13" s="19" t="s">
        <v>634</v>
      </c>
      <c r="O13" s="19" t="s">
        <v>634</v>
      </c>
      <c r="P13" s="19" t="s">
        <v>634</v>
      </c>
      <c r="Q13" s="19" t="s">
        <v>634</v>
      </c>
      <c r="R13" s="19" t="s">
        <v>634</v>
      </c>
      <c r="S13" s="19" t="s">
        <v>634</v>
      </c>
      <c r="T13" s="19" t="s">
        <v>634</v>
      </c>
      <c r="U13" s="4" t="s">
        <v>634</v>
      </c>
      <c r="V13" s="4" t="s">
        <v>634</v>
      </c>
      <c r="W13" s="4" t="s">
        <v>634</v>
      </c>
      <c r="X13" s="4" t="s">
        <v>634</v>
      </c>
      <c r="Y13" s="4" t="s">
        <v>634</v>
      </c>
    </row>
    <row r="14" spans="1:25" ht="18.5" customHeight="1">
      <c r="A14" s="137"/>
      <c r="B14" s="4" t="s">
        <v>634</v>
      </c>
      <c r="C14" s="4" t="s">
        <v>634</v>
      </c>
      <c r="D14" s="4" t="s">
        <v>634</v>
      </c>
      <c r="E14" s="4" t="s">
        <v>634</v>
      </c>
      <c r="F14" s="4" t="s">
        <v>635</v>
      </c>
      <c r="G14" s="19" t="s">
        <v>634</v>
      </c>
      <c r="H14" s="19" t="s">
        <v>634</v>
      </c>
      <c r="I14" s="19" t="s">
        <v>634</v>
      </c>
      <c r="J14" s="19" t="s">
        <v>634</v>
      </c>
      <c r="K14" s="19" t="s">
        <v>634</v>
      </c>
      <c r="L14" s="19" t="s">
        <v>634</v>
      </c>
      <c r="M14" s="19" t="s">
        <v>634</v>
      </c>
      <c r="N14" s="19" t="s">
        <v>634</v>
      </c>
      <c r="O14" s="19" t="s">
        <v>634</v>
      </c>
      <c r="P14" s="19" t="s">
        <v>634</v>
      </c>
      <c r="Q14" s="19" t="s">
        <v>634</v>
      </c>
      <c r="R14" s="19" t="s">
        <v>634</v>
      </c>
      <c r="S14" s="19" t="s">
        <v>634</v>
      </c>
      <c r="T14" s="19" t="s">
        <v>634</v>
      </c>
      <c r="U14" s="4" t="s">
        <v>634</v>
      </c>
      <c r="V14" s="4" t="s">
        <v>634</v>
      </c>
      <c r="W14" s="4" t="s">
        <v>634</v>
      </c>
      <c r="X14" s="4" t="s">
        <v>634</v>
      </c>
      <c r="Y14" s="4" t="s">
        <v>634</v>
      </c>
    </row>
    <row r="15" spans="1:25" ht="18.5" customHeight="1">
      <c r="A15" s="137"/>
      <c r="B15" s="4" t="s">
        <v>634</v>
      </c>
      <c r="C15" s="4" t="s">
        <v>634</v>
      </c>
      <c r="D15" s="4" t="s">
        <v>634</v>
      </c>
      <c r="E15" s="4" t="s">
        <v>634</v>
      </c>
      <c r="F15" s="4" t="s">
        <v>635</v>
      </c>
      <c r="G15" s="19" t="s">
        <v>634</v>
      </c>
      <c r="H15" s="19" t="s">
        <v>634</v>
      </c>
      <c r="I15" s="19" t="s">
        <v>634</v>
      </c>
      <c r="J15" s="19" t="s">
        <v>634</v>
      </c>
      <c r="K15" s="19" t="s">
        <v>634</v>
      </c>
      <c r="L15" s="19" t="s">
        <v>634</v>
      </c>
      <c r="M15" s="19" t="s">
        <v>634</v>
      </c>
      <c r="N15" s="19" t="s">
        <v>634</v>
      </c>
      <c r="O15" s="19" t="s">
        <v>634</v>
      </c>
      <c r="P15" s="19" t="s">
        <v>634</v>
      </c>
      <c r="Q15" s="19" t="s">
        <v>634</v>
      </c>
      <c r="R15" s="19" t="s">
        <v>634</v>
      </c>
      <c r="S15" s="19" t="s">
        <v>634</v>
      </c>
      <c r="T15" s="19" t="s">
        <v>634</v>
      </c>
      <c r="U15" s="4" t="s">
        <v>634</v>
      </c>
      <c r="V15" s="4" t="s">
        <v>634</v>
      </c>
      <c r="W15" s="4" t="s">
        <v>634</v>
      </c>
      <c r="X15" s="4" t="s">
        <v>634</v>
      </c>
      <c r="Y15" s="4" t="s">
        <v>634</v>
      </c>
    </row>
    <row r="16" spans="1:25" ht="18.5" customHeight="1">
      <c r="A16" s="137" t="s">
        <v>636</v>
      </c>
      <c r="B16" s="4" t="s">
        <v>522</v>
      </c>
      <c r="C16" s="4" t="s">
        <v>216</v>
      </c>
      <c r="D16" s="4" t="s">
        <v>592</v>
      </c>
      <c r="E16" s="4" t="s">
        <v>593</v>
      </c>
      <c r="F16" s="4" t="s">
        <v>637</v>
      </c>
      <c r="G16" s="4" t="s">
        <v>522</v>
      </c>
      <c r="H16" s="4" t="s">
        <v>638</v>
      </c>
      <c r="U16" s="4">
        <v>7</v>
      </c>
      <c r="V16" s="4">
        <v>13300</v>
      </c>
      <c r="W16" s="4">
        <v>11970</v>
      </c>
      <c r="X16" s="4" t="s">
        <v>639</v>
      </c>
      <c r="Y16" s="4" t="s">
        <v>640</v>
      </c>
    </row>
    <row r="17" spans="1:25" ht="18.5" customHeight="1">
      <c r="A17" s="137"/>
      <c r="B17" s="4" t="s">
        <v>522</v>
      </c>
      <c r="C17" s="4" t="s">
        <v>216</v>
      </c>
      <c r="D17" s="4" t="s">
        <v>592</v>
      </c>
      <c r="E17" s="4" t="s">
        <v>593</v>
      </c>
      <c r="F17" s="4" t="s">
        <v>641</v>
      </c>
      <c r="G17" s="4" t="s">
        <v>522</v>
      </c>
      <c r="H17" s="4" t="s">
        <v>642</v>
      </c>
      <c r="U17" s="4">
        <v>7</v>
      </c>
      <c r="V17" s="4">
        <v>13300</v>
      </c>
      <c r="W17" s="4">
        <v>11970</v>
      </c>
      <c r="X17" s="4" t="s">
        <v>643</v>
      </c>
      <c r="Y17" s="4" t="s">
        <v>640</v>
      </c>
    </row>
    <row r="18" spans="1:25" ht="18.5" customHeight="1">
      <c r="A18" s="137"/>
      <c r="B18" s="4" t="s">
        <v>522</v>
      </c>
      <c r="C18" s="4" t="s">
        <v>216</v>
      </c>
      <c r="D18" s="4" t="s">
        <v>601</v>
      </c>
      <c r="E18" s="4" t="s">
        <v>602</v>
      </c>
      <c r="F18" s="4" t="s">
        <v>644</v>
      </c>
      <c r="G18" s="4" t="s">
        <v>522</v>
      </c>
      <c r="H18" s="4" t="s">
        <v>645</v>
      </c>
      <c r="U18" s="4">
        <v>17</v>
      </c>
      <c r="V18" s="4">
        <v>64207</v>
      </c>
      <c r="W18" s="4">
        <v>60018</v>
      </c>
      <c r="X18" s="4" t="s">
        <v>646</v>
      </c>
      <c r="Y18" s="4" t="s">
        <v>632</v>
      </c>
    </row>
    <row r="19" spans="1:25" ht="18.5" customHeight="1">
      <c r="A19" s="137" t="s">
        <v>647</v>
      </c>
      <c r="B19" s="4" t="s">
        <v>522</v>
      </c>
      <c r="C19" s="4" t="s">
        <v>302</v>
      </c>
      <c r="D19" s="4" t="s">
        <v>592</v>
      </c>
      <c r="E19" s="4" t="s">
        <v>608</v>
      </c>
      <c r="F19" s="4" t="s">
        <v>648</v>
      </c>
      <c r="G19" s="4" t="s">
        <v>522</v>
      </c>
      <c r="H19" s="4" t="s">
        <v>649</v>
      </c>
      <c r="U19" s="4">
        <v>7</v>
      </c>
      <c r="V19" s="4">
        <v>11970</v>
      </c>
      <c r="W19" s="4">
        <v>13300</v>
      </c>
      <c r="X19" s="4" t="s">
        <v>650</v>
      </c>
      <c r="Y19" s="4" t="s">
        <v>651</v>
      </c>
    </row>
    <row r="20" spans="1:25" ht="18.5" customHeight="1">
      <c r="A20" s="137"/>
      <c r="B20" s="4" t="s">
        <v>522</v>
      </c>
      <c r="C20" s="4" t="s">
        <v>302</v>
      </c>
      <c r="D20" s="4" t="s">
        <v>592</v>
      </c>
      <c r="E20" s="4" t="s">
        <v>613</v>
      </c>
      <c r="F20" s="4" t="s">
        <v>652</v>
      </c>
      <c r="G20" s="4" t="s">
        <v>522</v>
      </c>
      <c r="H20" s="4" t="s">
        <v>653</v>
      </c>
      <c r="U20" s="4">
        <v>7</v>
      </c>
      <c r="V20" s="4">
        <v>11970</v>
      </c>
      <c r="W20" s="4">
        <v>13300</v>
      </c>
      <c r="X20" s="4" t="s">
        <v>654</v>
      </c>
      <c r="Y20" s="4" t="s">
        <v>651</v>
      </c>
    </row>
    <row r="21" spans="1:25" ht="18.5" customHeight="1">
      <c r="A21" s="137"/>
      <c r="B21" s="4" t="s">
        <v>522</v>
      </c>
      <c r="C21" s="4" t="s">
        <v>302</v>
      </c>
      <c r="D21" s="4" t="s">
        <v>601</v>
      </c>
      <c r="E21" s="4" t="s">
        <v>602</v>
      </c>
      <c r="F21" s="4" t="s">
        <v>655</v>
      </c>
      <c r="G21" s="4" t="s">
        <v>522</v>
      </c>
      <c r="H21" s="4" t="s">
        <v>656</v>
      </c>
      <c r="U21" s="4">
        <v>17</v>
      </c>
      <c r="V21" s="4">
        <v>60018</v>
      </c>
      <c r="W21" s="4">
        <v>64207</v>
      </c>
      <c r="X21" s="4" t="s">
        <v>657</v>
      </c>
      <c r="Y21" s="4" t="s">
        <v>658</v>
      </c>
    </row>
    <row r="22" spans="1:25" ht="18.5" customHeight="1">
      <c r="A22" s="137" t="s">
        <v>659</v>
      </c>
      <c r="B22" s="4" t="s">
        <v>522</v>
      </c>
      <c r="C22" s="4" t="s">
        <v>357</v>
      </c>
      <c r="D22" s="4" t="s">
        <v>592</v>
      </c>
      <c r="E22" s="4" t="s">
        <v>660</v>
      </c>
      <c r="F22" s="4" t="s">
        <v>661</v>
      </c>
      <c r="G22" s="4" t="s">
        <v>522</v>
      </c>
      <c r="H22" s="4" t="s">
        <v>662</v>
      </c>
      <c r="U22" s="4">
        <v>7</v>
      </c>
      <c r="V22" s="4">
        <v>11970</v>
      </c>
      <c r="W22" s="4">
        <v>13300</v>
      </c>
      <c r="X22" s="4" t="s">
        <v>663</v>
      </c>
      <c r="Y22" s="4" t="s">
        <v>664</v>
      </c>
    </row>
    <row r="23" spans="1:25" ht="18.5" customHeight="1">
      <c r="A23" s="137"/>
      <c r="B23" s="4" t="s">
        <v>522</v>
      </c>
      <c r="C23" s="4" t="s">
        <v>357</v>
      </c>
      <c r="D23" s="4" t="s">
        <v>592</v>
      </c>
      <c r="E23" s="4" t="s">
        <v>660</v>
      </c>
      <c r="F23" s="4" t="s">
        <v>665</v>
      </c>
      <c r="G23" s="4" t="s">
        <v>522</v>
      </c>
      <c r="H23" s="4" t="s">
        <v>666</v>
      </c>
      <c r="U23" s="4">
        <v>7</v>
      </c>
      <c r="V23" s="4">
        <v>11970</v>
      </c>
      <c r="W23" s="4">
        <v>13300</v>
      </c>
      <c r="X23" s="4" t="s">
        <v>667</v>
      </c>
      <c r="Y23" s="4" t="s">
        <v>664</v>
      </c>
    </row>
    <row r="24" spans="1:25" ht="18.5" customHeight="1">
      <c r="A24" s="137"/>
      <c r="B24" s="4" t="s">
        <v>522</v>
      </c>
      <c r="C24" s="4" t="s">
        <v>357</v>
      </c>
      <c r="D24" s="4" t="s">
        <v>601</v>
      </c>
      <c r="E24" s="4" t="s">
        <v>602</v>
      </c>
      <c r="F24" s="4" t="s">
        <v>668</v>
      </c>
      <c r="G24" s="4" t="s">
        <v>522</v>
      </c>
      <c r="H24" s="4" t="s">
        <v>669</v>
      </c>
      <c r="U24" s="4">
        <v>17</v>
      </c>
      <c r="V24" s="4">
        <v>60018</v>
      </c>
      <c r="W24" s="4">
        <v>64207</v>
      </c>
      <c r="X24" s="4" t="s">
        <v>670</v>
      </c>
      <c r="Y24" s="4" t="s">
        <v>671</v>
      </c>
    </row>
    <row r="25" spans="1:25" ht="18.5" customHeight="1"/>
    <row r="26" spans="1:25" ht="18.5" customHeight="1">
      <c r="A26" s="4" t="s">
        <v>672</v>
      </c>
    </row>
    <row r="27" spans="1:25" ht="18.5" customHeight="1">
      <c r="A27" s="137" t="s">
        <v>673</v>
      </c>
      <c r="B27" s="4">
        <v>48831</v>
      </c>
      <c r="C27" s="4" t="s">
        <v>468</v>
      </c>
      <c r="D27" s="4" t="s">
        <v>592</v>
      </c>
      <c r="E27" s="4" t="s">
        <v>660</v>
      </c>
      <c r="F27" s="5" t="s">
        <v>674</v>
      </c>
      <c r="G27" s="6" t="str">
        <f>HYPERLINK("https://stat100.ameba.jp/tnk47/ratio20/illustrations/card/ill_48831_chiseihahyakuninisshu01.jpg", "■")</f>
        <v>■</v>
      </c>
      <c r="H27" s="4" t="s">
        <v>675</v>
      </c>
      <c r="U27" s="4">
        <v>7</v>
      </c>
      <c r="V27" s="4">
        <v>13300</v>
      </c>
      <c r="W27" s="4">
        <v>11970</v>
      </c>
      <c r="X27" s="4" t="s">
        <v>676</v>
      </c>
      <c r="Y27" s="4" t="s">
        <v>677</v>
      </c>
    </row>
    <row r="28" spans="1:25" ht="18.5" customHeight="1">
      <c r="A28" s="137"/>
      <c r="B28" s="4">
        <v>48841</v>
      </c>
      <c r="C28" s="4" t="s">
        <v>468</v>
      </c>
      <c r="D28" s="4" t="s">
        <v>592</v>
      </c>
      <c r="E28" s="4" t="s">
        <v>660</v>
      </c>
      <c r="F28" s="5" t="s">
        <v>678</v>
      </c>
      <c r="G28" s="6" t="str">
        <f>HYPERLINK("https://stat100.ameba.jp/tnk47/ratio20/illustrations/card/ill_48841_chiseihahyakuninisshu201.jpg", "■")</f>
        <v>■</v>
      </c>
      <c r="H28" s="4" t="s">
        <v>679</v>
      </c>
      <c r="U28" s="4">
        <v>7</v>
      </c>
      <c r="V28" s="4">
        <v>13300</v>
      </c>
      <c r="W28" s="4">
        <v>11970</v>
      </c>
      <c r="X28" s="4" t="s">
        <v>680</v>
      </c>
      <c r="Y28" s="4" t="s">
        <v>677</v>
      </c>
    </row>
    <row r="29" spans="1:25" ht="18.5" customHeight="1">
      <c r="A29" s="137"/>
      <c r="B29" s="4">
        <v>48853</v>
      </c>
      <c r="C29" s="4" t="s">
        <v>468</v>
      </c>
      <c r="D29" s="4" t="s">
        <v>601</v>
      </c>
      <c r="E29" s="4" t="s">
        <v>681</v>
      </c>
      <c r="F29" s="5" t="s">
        <v>682</v>
      </c>
      <c r="G29" s="6" t="str">
        <f>HYPERLINK("https://stat100.ameba.jp/tnk47/ratio20/illustrations/card/ill_48853_chiseihahyakuninisshu_gattai01.jpg", "■")</f>
        <v>■</v>
      </c>
      <c r="H29" s="4" t="s">
        <v>683</v>
      </c>
      <c r="T29" s="4" t="s">
        <v>684</v>
      </c>
      <c r="U29" s="4">
        <v>7</v>
      </c>
      <c r="V29" s="4">
        <v>27446</v>
      </c>
      <c r="W29" s="4">
        <v>25559</v>
      </c>
      <c r="X29" s="4" t="s">
        <v>685</v>
      </c>
      <c r="Y29" s="4" t="s">
        <v>686</v>
      </c>
    </row>
    <row r="30" spans="1:25" ht="18.5" customHeight="1">
      <c r="A30" s="137" t="s">
        <v>687</v>
      </c>
      <c r="B30" s="4">
        <v>49821</v>
      </c>
      <c r="C30" s="4" t="s">
        <v>381</v>
      </c>
      <c r="D30" s="4" t="s">
        <v>592</v>
      </c>
      <c r="E30" s="4" t="s">
        <v>660</v>
      </c>
      <c r="F30" s="5" t="s">
        <v>688</v>
      </c>
      <c r="G30" s="6" t="str">
        <f>HYPERLINK("https://stat100.ameba.jp/tnk47/ratio20/illustrations/card/ill_49821_setsubungattaifuku01.jpg", "■")</f>
        <v>■</v>
      </c>
      <c r="H30" s="4" t="s">
        <v>689</v>
      </c>
      <c r="U30" s="4">
        <v>7</v>
      </c>
      <c r="V30" s="4">
        <v>11970</v>
      </c>
      <c r="W30" s="4">
        <v>13300</v>
      </c>
      <c r="X30" s="4" t="s">
        <v>690</v>
      </c>
      <c r="Y30" s="4" t="s">
        <v>691</v>
      </c>
    </row>
    <row r="31" spans="1:25" ht="18.5" customHeight="1">
      <c r="A31" s="137"/>
      <c r="B31" s="4">
        <v>49831</v>
      </c>
      <c r="C31" s="4" t="s">
        <v>381</v>
      </c>
      <c r="D31" s="4" t="s">
        <v>592</v>
      </c>
      <c r="E31" s="4" t="s">
        <v>660</v>
      </c>
      <c r="F31" s="5" t="s">
        <v>692</v>
      </c>
      <c r="G31" s="6" t="str">
        <f>HYPERLINK("https://stat100.ameba.jp/tnk47/ratio20/illustrations/card/ill_49831_setsubungattaioni01.jpg", "■")</f>
        <v>■</v>
      </c>
      <c r="H31" s="4" t="s">
        <v>693</v>
      </c>
      <c r="U31" s="4">
        <v>7</v>
      </c>
      <c r="V31" s="4">
        <v>11970</v>
      </c>
      <c r="W31" s="4">
        <v>13300</v>
      </c>
      <c r="X31" s="4" t="s">
        <v>694</v>
      </c>
      <c r="Y31" s="4" t="s">
        <v>691</v>
      </c>
    </row>
    <row r="32" spans="1:25" ht="18.5" customHeight="1">
      <c r="A32" s="137"/>
      <c r="B32" s="4">
        <v>49843</v>
      </c>
      <c r="C32" s="4" t="s">
        <v>381</v>
      </c>
      <c r="D32" s="4" t="s">
        <v>601</v>
      </c>
      <c r="E32" s="4" t="s">
        <v>681</v>
      </c>
      <c r="F32" s="5" t="s">
        <v>695</v>
      </c>
      <c r="G32" s="6" t="str">
        <f>HYPERLINK("https://stat100.ameba.jp/tnk47/ratio20/illustrations/card/ill_49843_setsubungattaigattaigo02.jpg", "■")</f>
        <v>■</v>
      </c>
      <c r="H32" s="4" t="s">
        <v>696</v>
      </c>
      <c r="T32" s="4" t="s">
        <v>697</v>
      </c>
      <c r="U32" s="4">
        <v>7</v>
      </c>
      <c r="V32" s="4">
        <v>25559</v>
      </c>
      <c r="W32" s="4">
        <v>27446</v>
      </c>
      <c r="X32" s="4" t="s">
        <v>698</v>
      </c>
      <c r="Y32" s="4" t="s">
        <v>699</v>
      </c>
    </row>
    <row r="33" spans="1:25" ht="18.5" customHeight="1">
      <c r="A33" s="137" t="s">
        <v>700</v>
      </c>
      <c r="B33" s="4">
        <v>50431</v>
      </c>
      <c r="C33" s="4" t="s">
        <v>216</v>
      </c>
      <c r="D33" s="4" t="s">
        <v>592</v>
      </c>
      <c r="E33" s="4" t="s">
        <v>660</v>
      </c>
      <c r="F33" s="5" t="s">
        <v>701</v>
      </c>
      <c r="G33" s="6" t="str">
        <f>HYPERLINK("https://stat100.ameba.jp/tnk47/ratio20/illustrations/card/ill_50431_hyakkaryorannosaitenhana01.jpg", "■")</f>
        <v>■</v>
      </c>
      <c r="H33" s="4" t="s">
        <v>702</v>
      </c>
      <c r="U33" s="4">
        <v>7</v>
      </c>
      <c r="V33" s="4">
        <v>13300</v>
      </c>
      <c r="W33" s="4">
        <v>11970</v>
      </c>
      <c r="X33" s="4" t="s">
        <v>703</v>
      </c>
      <c r="Y33" s="4" t="s">
        <v>704</v>
      </c>
    </row>
    <row r="34" spans="1:25" ht="18.5" customHeight="1">
      <c r="A34" s="137"/>
      <c r="B34" s="4">
        <v>50441</v>
      </c>
      <c r="C34" s="4" t="s">
        <v>216</v>
      </c>
      <c r="D34" s="4" t="s">
        <v>592</v>
      </c>
      <c r="E34" s="4" t="s">
        <v>660</v>
      </c>
      <c r="F34" s="5" t="s">
        <v>705</v>
      </c>
      <c r="G34" s="6" t="str">
        <f>HYPERLINK("https://stat100.ameba.jp/tnk47/ratio20/illustrations/card/ill_50441_hyakkaryorannosaitemmai01.jpg", "■")</f>
        <v>■</v>
      </c>
      <c r="H34" s="4" t="s">
        <v>706</v>
      </c>
      <c r="U34" s="4">
        <v>7</v>
      </c>
      <c r="V34" s="4">
        <v>13300</v>
      </c>
      <c r="W34" s="4">
        <v>11970</v>
      </c>
      <c r="X34" s="4" t="s">
        <v>707</v>
      </c>
      <c r="Y34" s="4" t="s">
        <v>704</v>
      </c>
    </row>
    <row r="35" spans="1:25" ht="18.5" customHeight="1">
      <c r="A35" s="137"/>
      <c r="B35" s="4">
        <v>50453</v>
      </c>
      <c r="C35" s="4" t="s">
        <v>216</v>
      </c>
      <c r="D35" s="4" t="s">
        <v>601</v>
      </c>
      <c r="E35" s="4" t="s">
        <v>681</v>
      </c>
      <c r="F35" s="5" t="s">
        <v>708</v>
      </c>
      <c r="G35" s="6" t="str">
        <f>HYPERLINK("https://stat100.ameba.jp/tnk47/ratio20/illustrations/card/ill_50453_hyakkaryorannosaiten03.jpg", "■")</f>
        <v>■</v>
      </c>
      <c r="H35" s="4" t="s">
        <v>709</v>
      </c>
      <c r="T35" s="4" t="s">
        <v>710</v>
      </c>
      <c r="U35" s="4">
        <v>7</v>
      </c>
      <c r="V35" s="4">
        <v>27446</v>
      </c>
      <c r="W35" s="4">
        <v>25559</v>
      </c>
      <c r="X35" s="4" t="s">
        <v>711</v>
      </c>
      <c r="Y35" s="4" t="s">
        <v>712</v>
      </c>
    </row>
    <row r="36" spans="1:25" ht="18.5" customHeight="1">
      <c r="A36" s="137" t="s">
        <v>713</v>
      </c>
      <c r="B36" s="4">
        <v>51421</v>
      </c>
      <c r="C36" s="4" t="s">
        <v>267</v>
      </c>
      <c r="D36" s="4" t="s">
        <v>592</v>
      </c>
      <c r="E36" s="4" t="s">
        <v>660</v>
      </c>
      <c r="F36" s="5" t="s">
        <v>714</v>
      </c>
      <c r="G36" s="6" t="str">
        <f>HYPERLINK("https://stat100.ameba.jp/tnk47/ratio20/illustrations/card/ill_51421_tenkurohanaminotageyu01.jpg", "■")</f>
        <v>■</v>
      </c>
      <c r="H36" s="4" t="s">
        <v>715</v>
      </c>
      <c r="U36" s="4">
        <v>7</v>
      </c>
      <c r="V36" s="4">
        <v>11970</v>
      </c>
      <c r="W36" s="4">
        <v>13300</v>
      </c>
      <c r="X36" s="4" t="s">
        <v>716</v>
      </c>
      <c r="Y36" s="4" t="s">
        <v>717</v>
      </c>
    </row>
    <row r="37" spans="1:25" ht="18.5" customHeight="1">
      <c r="A37" s="137"/>
      <c r="B37" s="4">
        <v>51431</v>
      </c>
      <c r="C37" s="4" t="s">
        <v>267</v>
      </c>
      <c r="D37" s="4" t="s">
        <v>592</v>
      </c>
      <c r="E37" s="4" t="s">
        <v>660</v>
      </c>
      <c r="F37" s="5" t="s">
        <v>718</v>
      </c>
      <c r="G37" s="6" t="str">
        <f>HYPERLINK("https://stat100.ameba.jp/tnk47/ratio20/illustrations/card/ill_51431_tenkurohanaminotagebi01.jpg", "■")</f>
        <v>■</v>
      </c>
      <c r="H37" s="4" t="s">
        <v>719</v>
      </c>
      <c r="U37" s="4">
        <v>7</v>
      </c>
      <c r="V37" s="4">
        <v>11970</v>
      </c>
      <c r="W37" s="4">
        <v>13300</v>
      </c>
      <c r="X37" s="4" t="s">
        <v>720</v>
      </c>
      <c r="Y37" s="4" t="s">
        <v>721</v>
      </c>
    </row>
    <row r="38" spans="1:25" ht="18.5" customHeight="1">
      <c r="A38" s="137"/>
      <c r="B38" s="4">
        <v>51443</v>
      </c>
      <c r="C38" s="4" t="s">
        <v>267</v>
      </c>
      <c r="D38" s="4" t="s">
        <v>601</v>
      </c>
      <c r="E38" s="4" t="s">
        <v>681</v>
      </c>
      <c r="F38" s="5" t="s">
        <v>722</v>
      </c>
      <c r="G38" s="6" t="str">
        <f>HYPERLINK("https://stat100.ameba.jp/tnk47/ratio20/illustrations/card/ill_51443_tenkurohanaminotage03.jpg", "■")</f>
        <v>■</v>
      </c>
      <c r="H38" s="4" t="s">
        <v>723</v>
      </c>
      <c r="T38" s="4" t="s">
        <v>710</v>
      </c>
      <c r="U38" s="4">
        <v>7</v>
      </c>
      <c r="V38" s="4">
        <v>25559</v>
      </c>
      <c r="W38" s="4">
        <v>27446</v>
      </c>
      <c r="X38" s="4" t="s">
        <v>724</v>
      </c>
      <c r="Y38" s="4" t="s">
        <v>725</v>
      </c>
    </row>
    <row r="39" spans="1:25" ht="18.5" customHeight="1">
      <c r="A39" s="137" t="s">
        <v>726</v>
      </c>
      <c r="B39" s="4">
        <v>52421</v>
      </c>
      <c r="C39" s="4" t="s">
        <v>330</v>
      </c>
      <c r="D39" s="4" t="s">
        <v>592</v>
      </c>
      <c r="E39" s="4" t="s">
        <v>608</v>
      </c>
      <c r="F39" s="5" t="s">
        <v>727</v>
      </c>
      <c r="G39" s="6" t="str">
        <f>HYPERLINK("https://stat100.ameba.jp/tnk47/ratio20/illustrations/card/ill_52421_tenkurohimeresukuinzuhigashi01.jpg", "■")</f>
        <v>■</v>
      </c>
      <c r="H39" s="4" t="s">
        <v>728</v>
      </c>
      <c r="U39" s="4">
        <v>7</v>
      </c>
      <c r="V39" s="4">
        <v>11970</v>
      </c>
      <c r="W39" s="4">
        <v>13300</v>
      </c>
      <c r="X39" s="4" t="s">
        <v>729</v>
      </c>
      <c r="Y39" s="4" t="s">
        <v>691</v>
      </c>
    </row>
    <row r="40" spans="1:25" ht="18.5" customHeight="1">
      <c r="A40" s="137"/>
      <c r="B40" s="4">
        <v>52431</v>
      </c>
      <c r="C40" s="4" t="s">
        <v>330</v>
      </c>
      <c r="D40" s="4" t="s">
        <v>592</v>
      </c>
      <c r="E40" s="4" t="s">
        <v>613</v>
      </c>
      <c r="F40" s="5" t="s">
        <v>730</v>
      </c>
      <c r="G40" s="6" t="str">
        <f>HYPERLINK("https://stat100.ameba.jp/tnk47/ratio20/illustrations/card/ill_52431_tenkurohimeresukuinzunishi01.jpg", "■")</f>
        <v>■</v>
      </c>
      <c r="H40" s="4" t="s">
        <v>731</v>
      </c>
      <c r="U40" s="4">
        <v>7</v>
      </c>
      <c r="V40" s="4">
        <v>11970</v>
      </c>
      <c r="W40" s="4">
        <v>13300</v>
      </c>
      <c r="X40" s="4" t="s">
        <v>732</v>
      </c>
      <c r="Y40" s="4" t="s">
        <v>691</v>
      </c>
    </row>
    <row r="41" spans="1:25" ht="18.5" customHeight="1">
      <c r="A41" s="137"/>
      <c r="B41" s="4">
        <v>52443</v>
      </c>
      <c r="C41" s="4" t="s">
        <v>330</v>
      </c>
      <c r="D41" s="4" t="s">
        <v>601</v>
      </c>
      <c r="E41" s="4" t="s">
        <v>602</v>
      </c>
      <c r="F41" s="5" t="s">
        <v>733</v>
      </c>
      <c r="G41" s="6" t="str">
        <f>HYPERLINK("https://stat100.ameba.jp/tnk47/ratio20/illustrations/card/ill_52443_tenkurohimeresukuinzu03.jpg", "■")</f>
        <v>■</v>
      </c>
      <c r="H41" s="4" t="s">
        <v>734</v>
      </c>
      <c r="T41" s="4" t="s">
        <v>710</v>
      </c>
      <c r="U41" s="4">
        <v>7</v>
      </c>
      <c r="V41" s="4">
        <v>25559</v>
      </c>
      <c r="W41" s="4">
        <v>27446</v>
      </c>
      <c r="X41" s="4" t="s">
        <v>735</v>
      </c>
      <c r="Y41" s="4" t="s">
        <v>736</v>
      </c>
    </row>
    <row r="42" spans="1:25" ht="18.5" customHeight="1">
      <c r="A42" s="137" t="s">
        <v>591</v>
      </c>
      <c r="B42" s="4" t="s">
        <v>522</v>
      </c>
      <c r="C42" s="4" t="s">
        <v>357</v>
      </c>
      <c r="D42" s="4" t="s">
        <v>592</v>
      </c>
      <c r="E42" s="4" t="s">
        <v>660</v>
      </c>
      <c r="F42" s="4" t="s">
        <v>737</v>
      </c>
      <c r="G42" s="4" t="s">
        <v>522</v>
      </c>
      <c r="H42" s="4" t="s">
        <v>595</v>
      </c>
      <c r="U42" s="4">
        <v>7</v>
      </c>
      <c r="V42" s="4">
        <v>11970</v>
      </c>
      <c r="W42" s="4">
        <v>13300</v>
      </c>
      <c r="X42" s="4" t="s">
        <v>738</v>
      </c>
      <c r="Y42" s="4" t="s">
        <v>717</v>
      </c>
    </row>
    <row r="43" spans="1:25" ht="18.5" customHeight="1">
      <c r="A43" s="137"/>
      <c r="B43" s="4" t="s">
        <v>522</v>
      </c>
      <c r="C43" s="4" t="s">
        <v>357</v>
      </c>
      <c r="D43" s="4" t="s">
        <v>592</v>
      </c>
      <c r="E43" s="4" t="s">
        <v>660</v>
      </c>
      <c r="F43" s="4" t="s">
        <v>739</v>
      </c>
      <c r="G43" s="4" t="s">
        <v>522</v>
      </c>
      <c r="H43" s="4" t="s">
        <v>595</v>
      </c>
      <c r="U43" s="4">
        <v>7</v>
      </c>
      <c r="V43" s="4">
        <v>11970</v>
      </c>
      <c r="W43" s="4">
        <v>13300</v>
      </c>
      <c r="X43" s="4" t="s">
        <v>740</v>
      </c>
      <c r="Y43" s="4" t="s">
        <v>717</v>
      </c>
    </row>
    <row r="44" spans="1:25" ht="18.5" customHeight="1">
      <c r="A44" s="137"/>
      <c r="B44" s="4" t="s">
        <v>522</v>
      </c>
      <c r="C44" s="4" t="s">
        <v>357</v>
      </c>
      <c r="D44" s="4" t="s">
        <v>601</v>
      </c>
      <c r="E44" s="4" t="s">
        <v>681</v>
      </c>
      <c r="F44" s="4" t="s">
        <v>741</v>
      </c>
      <c r="G44" s="4" t="s">
        <v>522</v>
      </c>
      <c r="H44" s="4" t="s">
        <v>742</v>
      </c>
      <c r="U44" s="4">
        <v>7</v>
      </c>
      <c r="V44" s="4">
        <v>25559</v>
      </c>
      <c r="W44" s="4">
        <v>27446</v>
      </c>
      <c r="X44" s="4" t="s">
        <v>595</v>
      </c>
      <c r="Y44" s="4" t="s">
        <v>743</v>
      </c>
    </row>
    <row r="45" spans="1:25" ht="18.5" customHeight="1">
      <c r="A45" s="137" t="s">
        <v>607</v>
      </c>
      <c r="B45" s="4" t="s">
        <v>522</v>
      </c>
      <c r="C45" s="4" t="s">
        <v>302</v>
      </c>
      <c r="D45" s="4" t="s">
        <v>592</v>
      </c>
      <c r="E45" s="4" t="s">
        <v>660</v>
      </c>
      <c r="F45" s="4" t="s">
        <v>744</v>
      </c>
      <c r="G45" s="4" t="s">
        <v>522</v>
      </c>
      <c r="H45" s="4" t="s">
        <v>745</v>
      </c>
      <c r="U45" s="4">
        <v>7</v>
      </c>
      <c r="V45" s="4">
        <v>13300</v>
      </c>
      <c r="W45" s="4">
        <v>11970</v>
      </c>
      <c r="X45" s="4" t="s">
        <v>746</v>
      </c>
      <c r="Y45" s="4" t="s">
        <v>640</v>
      </c>
    </row>
    <row r="46" spans="1:25" ht="18.5" customHeight="1">
      <c r="A46" s="137"/>
      <c r="B46" s="4" t="s">
        <v>522</v>
      </c>
      <c r="C46" s="4" t="s">
        <v>302</v>
      </c>
      <c r="D46" s="4" t="s">
        <v>592</v>
      </c>
      <c r="E46" s="4" t="s">
        <v>660</v>
      </c>
      <c r="F46" s="4" t="s">
        <v>747</v>
      </c>
      <c r="G46" s="4" t="s">
        <v>522</v>
      </c>
      <c r="H46" s="4" t="s">
        <v>748</v>
      </c>
      <c r="U46" s="4">
        <v>7</v>
      </c>
      <c r="V46" s="4">
        <v>13300</v>
      </c>
      <c r="W46" s="4">
        <v>11970</v>
      </c>
      <c r="X46" s="4" t="s">
        <v>749</v>
      </c>
      <c r="Y46" s="4" t="s">
        <v>640</v>
      </c>
    </row>
    <row r="47" spans="1:25" ht="18.5" customHeight="1">
      <c r="A47" s="137"/>
      <c r="B47" s="4" t="s">
        <v>522</v>
      </c>
      <c r="C47" s="4" t="s">
        <v>302</v>
      </c>
      <c r="D47" s="4" t="s">
        <v>601</v>
      </c>
      <c r="E47" s="4" t="s">
        <v>681</v>
      </c>
      <c r="F47" s="4" t="s">
        <v>750</v>
      </c>
      <c r="G47" s="4" t="s">
        <v>522</v>
      </c>
      <c r="H47" s="4" t="s">
        <v>751</v>
      </c>
      <c r="U47" s="4">
        <v>7</v>
      </c>
      <c r="V47" s="4">
        <v>27446</v>
      </c>
      <c r="W47" s="4">
        <v>25559</v>
      </c>
      <c r="X47" s="4" t="s">
        <v>595</v>
      </c>
      <c r="Y47" s="4" t="s">
        <v>752</v>
      </c>
    </row>
    <row r="48" spans="1:25" ht="18.5" customHeight="1">
      <c r="A48" s="137" t="s">
        <v>622</v>
      </c>
      <c r="B48" s="4" t="s">
        <v>522</v>
      </c>
      <c r="C48" s="4" t="s">
        <v>381</v>
      </c>
      <c r="D48" s="4" t="s">
        <v>592</v>
      </c>
      <c r="E48" s="4" t="s">
        <v>608</v>
      </c>
      <c r="F48" s="4" t="s">
        <v>753</v>
      </c>
      <c r="G48" s="4" t="s">
        <v>522</v>
      </c>
      <c r="H48" s="4" t="s">
        <v>754</v>
      </c>
      <c r="U48" s="4">
        <v>7</v>
      </c>
      <c r="V48" s="4">
        <v>13300</v>
      </c>
      <c r="W48" s="4">
        <v>11970</v>
      </c>
      <c r="X48" s="4" t="s">
        <v>755</v>
      </c>
      <c r="Y48" s="4" t="s">
        <v>756</v>
      </c>
    </row>
    <row r="49" spans="1:25" ht="18.5" customHeight="1">
      <c r="A49" s="137"/>
      <c r="B49" s="4" t="s">
        <v>522</v>
      </c>
      <c r="C49" s="4" t="s">
        <v>381</v>
      </c>
      <c r="D49" s="4" t="s">
        <v>592</v>
      </c>
      <c r="E49" s="4" t="s">
        <v>613</v>
      </c>
      <c r="F49" s="4" t="s">
        <v>757</v>
      </c>
      <c r="G49" s="4" t="s">
        <v>522</v>
      </c>
      <c r="H49" s="4" t="s">
        <v>758</v>
      </c>
      <c r="U49" s="4">
        <v>7</v>
      </c>
      <c r="V49" s="4">
        <v>13300</v>
      </c>
      <c r="W49" s="4">
        <v>11970</v>
      </c>
      <c r="X49" s="4" t="s">
        <v>759</v>
      </c>
      <c r="Y49" s="4" t="s">
        <v>756</v>
      </c>
    </row>
    <row r="50" spans="1:25" ht="18.5" customHeight="1">
      <c r="A50" s="137"/>
      <c r="B50" s="4" t="s">
        <v>522</v>
      </c>
      <c r="C50" s="4" t="s">
        <v>381</v>
      </c>
      <c r="D50" s="4" t="s">
        <v>601</v>
      </c>
      <c r="E50" s="4" t="s">
        <v>602</v>
      </c>
      <c r="F50" s="4" t="s">
        <v>760</v>
      </c>
      <c r="G50" s="4" t="s">
        <v>522</v>
      </c>
      <c r="H50" s="4" t="s">
        <v>761</v>
      </c>
      <c r="U50" s="4">
        <v>7</v>
      </c>
      <c r="V50" s="4">
        <v>27446</v>
      </c>
      <c r="W50" s="4">
        <v>25559</v>
      </c>
      <c r="X50" s="4" t="s">
        <v>762</v>
      </c>
      <c r="Y50" s="4" t="s">
        <v>763</v>
      </c>
    </row>
    <row r="51" spans="1:25" ht="18.5" customHeight="1">
      <c r="A51" s="137" t="s">
        <v>633</v>
      </c>
      <c r="B51" s="4">
        <v>55861</v>
      </c>
      <c r="C51" s="4" t="s">
        <v>216</v>
      </c>
      <c r="D51" s="4" t="s">
        <v>592</v>
      </c>
      <c r="E51" s="4" t="s">
        <v>608</v>
      </c>
      <c r="F51" s="5" t="s">
        <v>764</v>
      </c>
      <c r="G51" s="6" t="str">
        <f>HYPERLINK("https://stat100.ameba.jp/tnk47/ratio20/illustrations/card/ill_55861_higashinokankotaishichanzu01.jpg", "■")</f>
        <v>■</v>
      </c>
      <c r="H51" s="4" t="s">
        <v>765</v>
      </c>
      <c r="U51" s="4">
        <v>7</v>
      </c>
      <c r="V51" s="4">
        <v>11970</v>
      </c>
      <c r="W51" s="4">
        <v>13300</v>
      </c>
      <c r="X51" s="4" t="s">
        <v>766</v>
      </c>
      <c r="Y51" s="4" t="s">
        <v>767</v>
      </c>
    </row>
    <row r="52" spans="1:25" ht="18.5" customHeight="1">
      <c r="A52" s="137"/>
      <c r="B52" s="4">
        <v>55871</v>
      </c>
      <c r="C52" s="4" t="s">
        <v>216</v>
      </c>
      <c r="D52" s="4" t="s">
        <v>592</v>
      </c>
      <c r="E52" s="4" t="s">
        <v>613</v>
      </c>
      <c r="F52" s="5" t="s">
        <v>768</v>
      </c>
      <c r="G52" s="6" t="str">
        <f>HYPERLINK("https://stat100.ameba.jp/tnk47/ratio20/illustrations/card/ill_55871_nishinokankotaishichanzu01.jpg", "■")</f>
        <v>■</v>
      </c>
      <c r="H52" s="4" t="s">
        <v>769</v>
      </c>
      <c r="U52" s="4">
        <v>7</v>
      </c>
      <c r="V52" s="4">
        <v>11970</v>
      </c>
      <c r="W52" s="4">
        <v>13300</v>
      </c>
      <c r="X52" s="4" t="s">
        <v>770</v>
      </c>
      <c r="Y52" s="4" t="s">
        <v>767</v>
      </c>
    </row>
    <row r="53" spans="1:25" ht="18.5" customHeight="1">
      <c r="A53" s="137"/>
      <c r="B53" s="4">
        <v>55883</v>
      </c>
      <c r="C53" s="4" t="s">
        <v>216</v>
      </c>
      <c r="D53" s="4" t="s">
        <v>601</v>
      </c>
      <c r="E53" s="4" t="s">
        <v>602</v>
      </c>
      <c r="F53" s="5" t="s">
        <v>771</v>
      </c>
      <c r="G53" s="6" t="str">
        <f>HYPERLINK("https://stat100.ameba.jp/tnk47/ratio20/illustrations/card/ill_55883_nihonnokankotaishichanzu03.jpg", "■")</f>
        <v>■</v>
      </c>
      <c r="H53" s="4" t="s">
        <v>772</v>
      </c>
      <c r="U53" s="4">
        <v>7</v>
      </c>
      <c r="V53" s="4">
        <v>25559</v>
      </c>
      <c r="W53" s="4">
        <v>27446</v>
      </c>
      <c r="X53" s="4" t="s">
        <v>773</v>
      </c>
      <c r="Y53" s="4" t="s">
        <v>774</v>
      </c>
    </row>
    <row r="54" spans="1:25" ht="18.5" customHeight="1">
      <c r="A54" s="137" t="s">
        <v>636</v>
      </c>
      <c r="B54" s="4">
        <v>57031</v>
      </c>
      <c r="C54" s="4" t="s">
        <v>468</v>
      </c>
      <c r="D54" s="4" t="s">
        <v>592</v>
      </c>
      <c r="E54" s="4" t="s">
        <v>608</v>
      </c>
      <c r="F54" s="5" t="s">
        <v>775</v>
      </c>
      <c r="G54" s="6" t="str">
        <f>HYPERLINK("https://stat100.ameba.jp/tnk47/ratio20/illustrations/card/ill_57031_bungakunokyoshohigashi01.jpg", "■")</f>
        <v>■</v>
      </c>
      <c r="H54" s="4" t="s">
        <v>776</v>
      </c>
      <c r="U54" s="4">
        <v>7</v>
      </c>
      <c r="V54" s="4">
        <v>13300</v>
      </c>
      <c r="W54" s="4">
        <v>11970</v>
      </c>
      <c r="X54" s="4" t="s">
        <v>777</v>
      </c>
      <c r="Y54" s="4" t="s">
        <v>778</v>
      </c>
    </row>
    <row r="55" spans="1:25" ht="18.5" customHeight="1">
      <c r="A55" s="137"/>
      <c r="B55" s="4">
        <v>57041</v>
      </c>
      <c r="C55" s="4" t="s">
        <v>468</v>
      </c>
      <c r="D55" s="4" t="s">
        <v>592</v>
      </c>
      <c r="E55" s="4" t="s">
        <v>613</v>
      </c>
      <c r="F55" s="5" t="s">
        <v>779</v>
      </c>
      <c r="G55" s="6" t="str">
        <f>HYPERLINK("https://stat100.ameba.jp/tnk47/ratio20/illustrations/card/ill_57041_bungakunokyoshonishi01.jpg", "■")</f>
        <v>■</v>
      </c>
      <c r="H55" s="4" t="s">
        <v>780</v>
      </c>
      <c r="U55" s="4">
        <v>7</v>
      </c>
      <c r="V55" s="4">
        <v>13300</v>
      </c>
      <c r="W55" s="4">
        <v>11970</v>
      </c>
      <c r="X55" s="4" t="s">
        <v>781</v>
      </c>
      <c r="Y55" s="4" t="s">
        <v>778</v>
      </c>
    </row>
    <row r="56" spans="1:25" ht="18.5" customHeight="1">
      <c r="A56" s="137"/>
      <c r="B56" s="4">
        <v>57053</v>
      </c>
      <c r="C56" s="4" t="s">
        <v>468</v>
      </c>
      <c r="D56" s="4" t="s">
        <v>601</v>
      </c>
      <c r="E56" s="4" t="s">
        <v>602</v>
      </c>
      <c r="F56" s="5" t="s">
        <v>782</v>
      </c>
      <c r="G56" s="6" t="str">
        <f>HYPERLINK("https://stat100.ameba.jp/tnk47/ratio20/illustrations/card/ill_57053_nihombungakunokyoshotachi03.jpg", "■")</f>
        <v>■</v>
      </c>
      <c r="H56" s="4" t="s">
        <v>783</v>
      </c>
      <c r="T56" s="4" t="s">
        <v>784</v>
      </c>
      <c r="U56" s="4">
        <v>7</v>
      </c>
      <c r="V56" s="4">
        <v>27446</v>
      </c>
      <c r="W56" s="4">
        <v>25559</v>
      </c>
      <c r="X56" s="4" t="s">
        <v>785</v>
      </c>
      <c r="Y56" s="4" t="s">
        <v>786</v>
      </c>
    </row>
    <row r="57" spans="1:25" ht="18.5" customHeight="1">
      <c r="A57" s="137" t="s">
        <v>647</v>
      </c>
      <c r="B57" s="4" t="s">
        <v>522</v>
      </c>
      <c r="C57" s="4" t="s">
        <v>235</v>
      </c>
      <c r="D57" s="4" t="s">
        <v>592</v>
      </c>
      <c r="E57" s="4" t="s">
        <v>608</v>
      </c>
      <c r="F57" s="4" t="s">
        <v>787</v>
      </c>
      <c r="G57" s="4" t="s">
        <v>522</v>
      </c>
      <c r="H57" s="4" t="s">
        <v>788</v>
      </c>
      <c r="U57" s="4">
        <v>7</v>
      </c>
      <c r="V57" s="4">
        <v>13300</v>
      </c>
      <c r="W57" s="4">
        <v>11970</v>
      </c>
      <c r="X57" s="4" t="s">
        <v>789</v>
      </c>
      <c r="Y57" s="4" t="s">
        <v>617</v>
      </c>
    </row>
    <row r="58" spans="1:25" ht="18.5" customHeight="1">
      <c r="A58" s="137"/>
      <c r="B58" s="4" t="s">
        <v>522</v>
      </c>
      <c r="C58" s="4" t="s">
        <v>235</v>
      </c>
      <c r="D58" s="4" t="s">
        <v>592</v>
      </c>
      <c r="E58" s="4" t="s">
        <v>613</v>
      </c>
      <c r="F58" s="4" t="s">
        <v>790</v>
      </c>
      <c r="G58" s="4" t="s">
        <v>522</v>
      </c>
      <c r="H58" s="4" t="s">
        <v>791</v>
      </c>
      <c r="U58" s="4">
        <v>7</v>
      </c>
      <c r="V58" s="4">
        <v>13300</v>
      </c>
      <c r="W58" s="4">
        <v>11970</v>
      </c>
      <c r="X58" s="4" t="s">
        <v>792</v>
      </c>
      <c r="Y58" s="4" t="s">
        <v>617</v>
      </c>
    </row>
    <row r="59" spans="1:25" ht="18.5" customHeight="1">
      <c r="A59" s="137"/>
      <c r="B59" s="4" t="s">
        <v>522</v>
      </c>
      <c r="C59" s="4" t="s">
        <v>235</v>
      </c>
      <c r="D59" s="4" t="s">
        <v>601</v>
      </c>
      <c r="E59" s="4" t="s">
        <v>602</v>
      </c>
      <c r="F59" s="4" t="s">
        <v>793</v>
      </c>
      <c r="G59" s="4" t="s">
        <v>522</v>
      </c>
      <c r="H59" s="4" t="s">
        <v>794</v>
      </c>
      <c r="U59" s="4">
        <v>7</v>
      </c>
      <c r="V59" s="4">
        <v>27446</v>
      </c>
      <c r="W59" s="4">
        <v>25559</v>
      </c>
      <c r="X59" s="4" t="s">
        <v>795</v>
      </c>
      <c r="Y59" s="4" t="s">
        <v>796</v>
      </c>
    </row>
    <row r="60" spans="1:25" ht="18.5" customHeight="1">
      <c r="A60" s="137" t="s">
        <v>659</v>
      </c>
      <c r="B60" s="4">
        <v>58701</v>
      </c>
      <c r="C60" s="4" t="s">
        <v>357</v>
      </c>
      <c r="D60" s="4" t="s">
        <v>592</v>
      </c>
      <c r="E60" s="4" t="s">
        <v>660</v>
      </c>
      <c r="F60" s="5" t="s">
        <v>797</v>
      </c>
      <c r="G60" s="6" t="str">
        <f>HYPERLINK("https://stat100.ameba.jp/tnk47/ratio20/illustrations/card/ill_58701_mafuyunotenkuronabebugyoutage01.jpg", "■")</f>
        <v>■</v>
      </c>
      <c r="H60" s="4" t="s">
        <v>798</v>
      </c>
      <c r="U60" s="4">
        <v>7</v>
      </c>
      <c r="V60" s="4">
        <v>13300</v>
      </c>
      <c r="W60" s="4">
        <v>11970</v>
      </c>
      <c r="X60" s="4" t="s">
        <v>799</v>
      </c>
      <c r="Y60" s="4" t="s">
        <v>800</v>
      </c>
    </row>
    <row r="61" spans="1:25" ht="18.5" customHeight="1">
      <c r="A61" s="137"/>
      <c r="B61" s="4">
        <v>58711</v>
      </c>
      <c r="C61" s="4" t="s">
        <v>357</v>
      </c>
      <c r="D61" s="4" t="s">
        <v>592</v>
      </c>
      <c r="E61" s="4" t="s">
        <v>660</v>
      </c>
      <c r="F61" s="5" t="s">
        <v>801</v>
      </c>
      <c r="G61" s="6" t="str">
        <f>HYPERLINK("https://stat100.ameba.jp/tnk47/ratio20/illustrations/card/ill_58711_mafuyunotenkuronabebugyonagomi01.jpg", "■")</f>
        <v>■</v>
      </c>
      <c r="H61" s="4" t="s">
        <v>802</v>
      </c>
      <c r="U61" s="4">
        <v>7</v>
      </c>
      <c r="V61" s="4">
        <v>13300</v>
      </c>
      <c r="W61" s="4">
        <v>11970</v>
      </c>
      <c r="X61" s="4" t="s">
        <v>803</v>
      </c>
      <c r="Y61" s="4" t="s">
        <v>800</v>
      </c>
    </row>
    <row r="62" spans="1:25" ht="18.5" customHeight="1">
      <c r="A62" s="137"/>
      <c r="B62" s="4">
        <v>58723</v>
      </c>
      <c r="C62" s="4" t="s">
        <v>357</v>
      </c>
      <c r="D62" s="4" t="s">
        <v>601</v>
      </c>
      <c r="E62" s="4" t="s">
        <v>602</v>
      </c>
      <c r="F62" s="5" t="s">
        <v>804</v>
      </c>
      <c r="G62" s="6" t="str">
        <f>HYPERLINK("https://stat100.ameba.jp/tnk47/ratio20/illustrations/card/ill_58723_mafuyunotenkuroonabebugyo03.jpg", "■")</f>
        <v>■</v>
      </c>
      <c r="H62" s="4" t="s">
        <v>805</v>
      </c>
      <c r="T62" s="4" t="s">
        <v>806</v>
      </c>
      <c r="U62" s="4">
        <v>7</v>
      </c>
      <c r="V62" s="4">
        <v>27446</v>
      </c>
      <c r="W62" s="4">
        <v>25559</v>
      </c>
      <c r="X62" s="4" t="s">
        <v>807</v>
      </c>
      <c r="Y62" s="4" t="s">
        <v>808</v>
      </c>
    </row>
    <row r="64" spans="1:25">
      <c r="A64" s="4" t="s">
        <v>809</v>
      </c>
    </row>
    <row r="65" spans="1:25">
      <c r="A65" s="137" t="s">
        <v>673</v>
      </c>
      <c r="B65" s="4">
        <v>60231</v>
      </c>
      <c r="C65" s="4" t="s">
        <v>272</v>
      </c>
      <c r="D65" s="4" t="s">
        <v>592</v>
      </c>
      <c r="E65" s="4" t="s">
        <v>608</v>
      </c>
      <c r="F65" s="5" t="s">
        <v>810</v>
      </c>
      <c r="G65" s="6" t="str">
        <f>HYPERLINK("https://stat100.ameba.jp/tnk47/ratio20/illustrations/card/ill_60231_wamodokorekushonhigashi01.jpg", "■")</f>
        <v>■</v>
      </c>
      <c r="H65" s="4" t="s">
        <v>811</v>
      </c>
      <c r="U65" s="4">
        <v>7</v>
      </c>
      <c r="V65" s="4">
        <v>11970</v>
      </c>
      <c r="W65" s="4">
        <v>13300</v>
      </c>
      <c r="X65" s="4" t="s">
        <v>812</v>
      </c>
      <c r="Y65" s="4" t="s">
        <v>651</v>
      </c>
    </row>
    <row r="66" spans="1:25">
      <c r="A66" s="137"/>
      <c r="B66" s="4">
        <v>60241</v>
      </c>
      <c r="C66" s="4" t="s">
        <v>272</v>
      </c>
      <c r="D66" s="4" t="s">
        <v>592</v>
      </c>
      <c r="E66" s="4" t="s">
        <v>613</v>
      </c>
      <c r="F66" s="5" t="s">
        <v>813</v>
      </c>
      <c r="G66" s="6" t="str">
        <f>HYPERLINK("https://stat100.ameba.jp/tnk47/ratio20/illustrations/card/ill_60241_wamodokorekushonnishi01.jpg", "■")</f>
        <v>■</v>
      </c>
      <c r="H66" s="4" t="s">
        <v>814</v>
      </c>
      <c r="U66" s="4">
        <v>7</v>
      </c>
      <c r="V66" s="4">
        <v>11970</v>
      </c>
      <c r="W66" s="4">
        <v>13300</v>
      </c>
      <c r="X66" s="4" t="s">
        <v>815</v>
      </c>
      <c r="Y66" s="4" t="s">
        <v>651</v>
      </c>
    </row>
    <row r="67" spans="1:25">
      <c r="A67" s="137"/>
      <c r="B67" s="4">
        <v>60253</v>
      </c>
      <c r="C67" s="4" t="s">
        <v>272</v>
      </c>
      <c r="D67" s="4" t="s">
        <v>601</v>
      </c>
      <c r="E67" s="4" t="s">
        <v>681</v>
      </c>
      <c r="F67" s="5" t="s">
        <v>816</v>
      </c>
      <c r="G67" s="6" t="str">
        <f>HYPERLINK("https://stat100.ameba.jp/tnk47/ratio20/illustrations/card/ill_60253_wamodokorekushonshoka03.jpg", "■")</f>
        <v>■</v>
      </c>
      <c r="H67" s="4" t="s">
        <v>817</v>
      </c>
      <c r="T67" s="4" t="s">
        <v>818</v>
      </c>
      <c r="U67" s="4">
        <v>7</v>
      </c>
      <c r="V67" s="4">
        <v>25559</v>
      </c>
      <c r="W67" s="4">
        <v>27446</v>
      </c>
      <c r="X67" s="4" t="s">
        <v>819</v>
      </c>
      <c r="Y67" s="4" t="s">
        <v>820</v>
      </c>
    </row>
    <row r="68" spans="1:25">
      <c r="A68" s="137" t="s">
        <v>687</v>
      </c>
      <c r="B68" s="4">
        <v>61081</v>
      </c>
      <c r="C68" s="4" t="s">
        <v>302</v>
      </c>
      <c r="D68" s="4" t="s">
        <v>592</v>
      </c>
      <c r="E68" s="4" t="s">
        <v>608</v>
      </c>
      <c r="F68" s="5" t="s">
        <v>821</v>
      </c>
      <c r="G68" s="6" t="str">
        <f>HYPERLINK("https://stat100.ameba.jp/tnk47/ratio20/illustrations/card/ill_61081_oninoshuenhigashi01.jpg", "■")</f>
        <v>■</v>
      </c>
      <c r="H68" s="4" t="s">
        <v>822</v>
      </c>
      <c r="U68" s="4">
        <v>7</v>
      </c>
      <c r="V68" s="4">
        <v>13300</v>
      </c>
      <c r="W68" s="4">
        <v>11970</v>
      </c>
      <c r="X68" s="4" t="s">
        <v>823</v>
      </c>
      <c r="Y68" s="4" t="s">
        <v>640</v>
      </c>
    </row>
    <row r="69" spans="1:25">
      <c r="A69" s="137"/>
      <c r="B69" s="4">
        <v>61091</v>
      </c>
      <c r="C69" s="4" t="s">
        <v>302</v>
      </c>
      <c r="D69" s="4" t="s">
        <v>592</v>
      </c>
      <c r="E69" s="4" t="s">
        <v>613</v>
      </c>
      <c r="F69" s="5" t="s">
        <v>824</v>
      </c>
      <c r="G69" s="6" t="str">
        <f>HYPERLINK("https://stat100.ameba.jp/tnk47/ratio20/illustrations/card/ill_61091_oninoshuennishi01.jpg", "■")</f>
        <v>■</v>
      </c>
      <c r="H69" s="4" t="s">
        <v>825</v>
      </c>
      <c r="U69" s="4">
        <v>7</v>
      </c>
      <c r="V69" s="4">
        <v>13300</v>
      </c>
      <c r="W69" s="4">
        <v>11970</v>
      </c>
      <c r="X69" s="4" t="s">
        <v>823</v>
      </c>
      <c r="Y69" s="4" t="s">
        <v>640</v>
      </c>
    </row>
    <row r="70" spans="1:25">
      <c r="A70" s="137"/>
      <c r="B70" s="4">
        <v>61103</v>
      </c>
      <c r="C70" s="4" t="s">
        <v>302</v>
      </c>
      <c r="D70" s="4" t="s">
        <v>601</v>
      </c>
      <c r="E70" s="4" t="s">
        <v>681</v>
      </c>
      <c r="F70" s="5" t="s">
        <v>826</v>
      </c>
      <c r="G70" s="6" t="str">
        <f>HYPERLINK("https://stat100.ameba.jp/tnk47/ratio20/illustrations/card/ill_61103_yokidaienkai03.jpg", "■")</f>
        <v>■</v>
      </c>
      <c r="H70" s="4" t="s">
        <v>827</v>
      </c>
      <c r="T70" s="4" t="s">
        <v>818</v>
      </c>
      <c r="U70" s="4">
        <v>7</v>
      </c>
      <c r="V70" s="4">
        <v>27446</v>
      </c>
      <c r="W70" s="4">
        <v>25559</v>
      </c>
      <c r="X70" s="4" t="s">
        <v>828</v>
      </c>
      <c r="Y70" s="4" t="s">
        <v>829</v>
      </c>
    </row>
    <row r="71" spans="1:25">
      <c r="A71" s="137" t="s">
        <v>700</v>
      </c>
      <c r="B71" s="4">
        <v>61651</v>
      </c>
      <c r="C71" s="4" t="s">
        <v>267</v>
      </c>
      <c r="D71" s="4" t="s">
        <v>592</v>
      </c>
      <c r="E71" s="4" t="s">
        <v>608</v>
      </c>
      <c r="F71" s="5" t="s">
        <v>830</v>
      </c>
      <c r="G71" s="6" t="str">
        <f>HYPERLINK("https://stat100.ameba.jp/tnk47/ratio20/illustrations/card/ill_61651_harutsugenoseireihigashi01.jpg", "■")</f>
        <v>■</v>
      </c>
      <c r="H71" s="4" t="s">
        <v>831</v>
      </c>
      <c r="U71" s="4">
        <v>7</v>
      </c>
      <c r="V71" s="4">
        <v>13300</v>
      </c>
      <c r="W71" s="4">
        <v>11970</v>
      </c>
      <c r="X71" s="4" t="s">
        <v>832</v>
      </c>
      <c r="Y71" s="4" t="s">
        <v>833</v>
      </c>
    </row>
    <row r="72" spans="1:25">
      <c r="A72" s="137"/>
      <c r="B72" s="4">
        <v>61661</v>
      </c>
      <c r="C72" s="4" t="s">
        <v>267</v>
      </c>
      <c r="D72" s="4" t="s">
        <v>592</v>
      </c>
      <c r="E72" s="4" t="s">
        <v>613</v>
      </c>
      <c r="F72" s="5" t="s">
        <v>834</v>
      </c>
      <c r="G72" s="6" t="str">
        <f>HYPERLINK("https://stat100.ameba.jp/tnk47/ratio20/illustrations/card/ill_61661_harutsugenoseireinishi01.jpg", "■")</f>
        <v>■</v>
      </c>
      <c r="H72" s="4" t="s">
        <v>835</v>
      </c>
      <c r="U72" s="4">
        <v>7</v>
      </c>
      <c r="V72" s="4">
        <v>13300</v>
      </c>
      <c r="W72" s="4">
        <v>11970</v>
      </c>
      <c r="X72" s="4" t="s">
        <v>836</v>
      </c>
      <c r="Y72" s="4" t="s">
        <v>833</v>
      </c>
    </row>
    <row r="73" spans="1:25">
      <c r="A73" s="137"/>
      <c r="B73" s="4">
        <v>61673</v>
      </c>
      <c r="C73" s="4" t="s">
        <v>267</v>
      </c>
      <c r="D73" s="4" t="s">
        <v>601</v>
      </c>
      <c r="E73" s="4" t="s">
        <v>681</v>
      </c>
      <c r="F73" s="5" t="s">
        <v>837</v>
      </c>
      <c r="G73" s="6" t="str">
        <f>HYPERLINK("https://stat100.ameba.jp/tnk47/ratio20/illustrations/card/ill_61673_harutsugetonukumorinoseireitachi03.jpg", "■")</f>
        <v>■</v>
      </c>
      <c r="H73" s="4" t="s">
        <v>838</v>
      </c>
      <c r="T73" s="4" t="s">
        <v>818</v>
      </c>
      <c r="U73" s="4">
        <v>7</v>
      </c>
      <c r="V73" s="4">
        <v>29049</v>
      </c>
      <c r="W73" s="4">
        <v>27181</v>
      </c>
      <c r="X73" s="4" t="s">
        <v>839</v>
      </c>
      <c r="Y73" s="4" t="s">
        <v>840</v>
      </c>
    </row>
    <row r="74" spans="1:25">
      <c r="A74" s="137" t="s">
        <v>713</v>
      </c>
      <c r="B74" s="4">
        <v>62541</v>
      </c>
      <c r="C74" s="4" t="s">
        <v>330</v>
      </c>
      <c r="D74" s="4" t="s">
        <v>592</v>
      </c>
      <c r="E74" s="4" t="s">
        <v>608</v>
      </c>
      <c r="F74" s="5" t="s">
        <v>841</v>
      </c>
      <c r="G74" s="6" t="str">
        <f>HYPERLINK("https://stat100.ameba.jp/tnk47/ratio20/illustrations/card/ill_62541_higashinoharuhimesuien01.jpg", "■")</f>
        <v>■</v>
      </c>
      <c r="H74" s="4" t="s">
        <v>842</v>
      </c>
      <c r="U74" s="4">
        <v>7</v>
      </c>
      <c r="V74" s="4">
        <v>11970</v>
      </c>
      <c r="W74" s="4">
        <v>13300</v>
      </c>
      <c r="X74" s="4" t="s">
        <v>843</v>
      </c>
      <c r="Y74" s="4" t="s">
        <v>844</v>
      </c>
    </row>
    <row r="75" spans="1:25">
      <c r="A75" s="137"/>
      <c r="B75" s="4">
        <v>62551</v>
      </c>
      <c r="C75" s="4" t="s">
        <v>330</v>
      </c>
      <c r="D75" s="4" t="s">
        <v>592</v>
      </c>
      <c r="E75" s="4" t="s">
        <v>613</v>
      </c>
      <c r="F75" s="5" t="s">
        <v>845</v>
      </c>
      <c r="G75" s="6" t="str">
        <f>HYPERLINK("https://stat100.ameba.jp/tnk47/ratio20/illustrations/card/ill_62551_nishinoharuhimesuien01.jpg", "■")</f>
        <v>■</v>
      </c>
      <c r="H75" s="4" t="s">
        <v>846</v>
      </c>
      <c r="U75" s="4">
        <v>7</v>
      </c>
      <c r="V75" s="4">
        <v>11970</v>
      </c>
      <c r="W75" s="4">
        <v>13300</v>
      </c>
      <c r="X75" s="4" t="s">
        <v>847</v>
      </c>
      <c r="Y75" s="4" t="s">
        <v>844</v>
      </c>
    </row>
    <row r="76" spans="1:25">
      <c r="A76" s="137"/>
      <c r="B76" s="4">
        <v>62563</v>
      </c>
      <c r="C76" s="4" t="s">
        <v>330</v>
      </c>
      <c r="D76" s="4" t="s">
        <v>601</v>
      </c>
      <c r="E76" s="4" t="s">
        <v>681</v>
      </c>
      <c r="F76" s="5" t="s">
        <v>848</v>
      </c>
      <c r="G76" s="6" t="str">
        <f>HYPERLINK("https://stat100.ameba.jp/tnk47/ratio20/illustrations/card/ill_62563_senshibankonoharuhimesuien03.jpg", "■")</f>
        <v>■</v>
      </c>
      <c r="H76" s="4" t="s">
        <v>849</v>
      </c>
      <c r="T76" s="4" t="s">
        <v>818</v>
      </c>
      <c r="U76" s="4">
        <v>7</v>
      </c>
      <c r="V76" s="4">
        <v>25412</v>
      </c>
      <c r="W76" s="4">
        <v>27342</v>
      </c>
      <c r="X76" s="4" t="s">
        <v>850</v>
      </c>
      <c r="Y76" s="4" t="s">
        <v>851</v>
      </c>
    </row>
    <row r="77" spans="1:25">
      <c r="A77" s="137" t="s">
        <v>726</v>
      </c>
      <c r="B77" s="4">
        <v>63541</v>
      </c>
      <c r="C77" s="4" t="s">
        <v>216</v>
      </c>
      <c r="D77" s="4" t="s">
        <v>592</v>
      </c>
      <c r="E77" s="4" t="s">
        <v>608</v>
      </c>
      <c r="F77" s="5" t="s">
        <v>852</v>
      </c>
      <c r="G77" s="6" t="str">
        <f>HYPERLINK("https://stat100.ameba.jp/tnk47/ratio20/illustrations/card/ill_63541_higashinoshofukutaisai01.jpg", "■")</f>
        <v>■</v>
      </c>
      <c r="H77" s="4" t="s">
        <v>853</v>
      </c>
      <c r="U77" s="4">
        <v>7</v>
      </c>
      <c r="V77" s="4">
        <v>11970</v>
      </c>
      <c r="W77" s="4">
        <v>13300</v>
      </c>
      <c r="X77" s="4" t="s">
        <v>854</v>
      </c>
      <c r="Y77" s="4" t="s">
        <v>855</v>
      </c>
    </row>
    <row r="78" spans="1:25">
      <c r="A78" s="137"/>
      <c r="B78" s="4">
        <v>63551</v>
      </c>
      <c r="C78" s="4" t="s">
        <v>216</v>
      </c>
      <c r="D78" s="4" t="s">
        <v>592</v>
      </c>
      <c r="E78" s="4" t="s">
        <v>613</v>
      </c>
      <c r="F78" s="5" t="s">
        <v>856</v>
      </c>
      <c r="G78" s="6" t="str">
        <f>HYPERLINK("https://stat100.ameba.jp/tnk47/ratio20/illustrations/card/ill_63551_nishinoshofukutaisai01.jpg", "■")</f>
        <v>■</v>
      </c>
      <c r="H78" s="4" t="s">
        <v>857</v>
      </c>
      <c r="U78" s="4">
        <v>7</v>
      </c>
      <c r="V78" s="4">
        <v>11970</v>
      </c>
      <c r="W78" s="4">
        <v>13300</v>
      </c>
      <c r="X78" s="4" t="s">
        <v>858</v>
      </c>
      <c r="Y78" s="4" t="s">
        <v>855</v>
      </c>
    </row>
    <row r="79" spans="1:25">
      <c r="A79" s="137"/>
      <c r="B79" s="4">
        <v>63563</v>
      </c>
      <c r="C79" s="4" t="s">
        <v>216</v>
      </c>
      <c r="D79" s="4" t="s">
        <v>601</v>
      </c>
      <c r="E79" s="4" t="s">
        <v>681</v>
      </c>
      <c r="F79" s="5" t="s">
        <v>859</v>
      </c>
      <c r="G79" s="6" t="str">
        <f>HYPERLINK("https://stat100.ameba.jp/tnk47/ratio20/illustrations/card/ill_63563_banshunshokanoshofukutaisai03.jpg", "■")</f>
        <v>■</v>
      </c>
      <c r="H79" s="4" t="s">
        <v>860</v>
      </c>
      <c r="T79" s="4" t="s">
        <v>818</v>
      </c>
      <c r="U79" s="4">
        <v>7</v>
      </c>
      <c r="V79" s="4">
        <v>28320</v>
      </c>
      <c r="W79" s="4">
        <v>30266</v>
      </c>
      <c r="X79" s="4" t="s">
        <v>861</v>
      </c>
      <c r="Y79" s="4" t="s">
        <v>862</v>
      </c>
    </row>
    <row r="80" spans="1:25">
      <c r="A80" s="137" t="s">
        <v>591</v>
      </c>
      <c r="B80" s="4">
        <v>63711</v>
      </c>
      <c r="C80" s="4" t="s">
        <v>272</v>
      </c>
      <c r="D80" s="4" t="s">
        <v>592</v>
      </c>
      <c r="E80" s="4" t="s">
        <v>608</v>
      </c>
      <c r="F80" s="5" t="s">
        <v>863</v>
      </c>
      <c r="G80" s="6" t="str">
        <f>HYPERLINK("https://stat100.ameba.jp/tnk47/ratio20/illustrations/card/ill_63711_tenkurokagekidankenran01.jpg?202003-i_prefecture_active_user", "■")</f>
        <v>■</v>
      </c>
      <c r="H80" s="4" t="s">
        <v>864</v>
      </c>
      <c r="U80" s="4">
        <v>7</v>
      </c>
      <c r="V80" s="4">
        <v>13300</v>
      </c>
      <c r="W80" s="4">
        <v>11970</v>
      </c>
      <c r="X80" s="4" t="s">
        <v>865</v>
      </c>
      <c r="Y80" s="4" t="s">
        <v>866</v>
      </c>
    </row>
    <row r="81" spans="1:25">
      <c r="A81" s="137"/>
      <c r="B81" s="4">
        <v>63721</v>
      </c>
      <c r="C81" s="4" t="s">
        <v>272</v>
      </c>
      <c r="D81" s="4" t="s">
        <v>592</v>
      </c>
      <c r="E81" s="4" t="s">
        <v>613</v>
      </c>
      <c r="F81" s="5" t="s">
        <v>867</v>
      </c>
      <c r="G81" s="6" t="str">
        <f>HYPERLINK("https://stat100.ameba.jp/tnk47/ratio20/illustrations/card/ill_63721_tenkurokagekidankarei01.jpg", "■")</f>
        <v>■</v>
      </c>
      <c r="H81" s="4" t="s">
        <v>868</v>
      </c>
      <c r="U81" s="4">
        <v>7</v>
      </c>
      <c r="V81" s="4">
        <v>13300</v>
      </c>
      <c r="W81" s="4">
        <v>11970</v>
      </c>
      <c r="X81" s="4" t="s">
        <v>869</v>
      </c>
      <c r="Y81" s="4" t="s">
        <v>866</v>
      </c>
    </row>
    <row r="82" spans="1:25">
      <c r="A82" s="137"/>
      <c r="B82" s="4">
        <v>63733</v>
      </c>
      <c r="C82" s="4" t="s">
        <v>272</v>
      </c>
      <c r="D82" s="4" t="s">
        <v>601</v>
      </c>
      <c r="E82" s="4" t="s">
        <v>681</v>
      </c>
      <c r="F82" s="5" t="s">
        <v>870</v>
      </c>
      <c r="G82" s="6" t="str">
        <f>HYPERLINK("https://stat100.ameba.jp/tnk47/ratio20/illustrations/card/ill_63733_tenkurokagekidankenrankarei03.jpg", "■")</f>
        <v>■</v>
      </c>
      <c r="H82" s="4" t="s">
        <v>871</v>
      </c>
      <c r="T82" s="4" t="s">
        <v>818</v>
      </c>
      <c r="U82" s="4">
        <v>7</v>
      </c>
      <c r="V82" s="4">
        <v>27818</v>
      </c>
      <c r="W82" s="4">
        <v>26020</v>
      </c>
      <c r="X82" s="4" t="s">
        <v>872</v>
      </c>
      <c r="Y82" s="4" t="s">
        <v>873</v>
      </c>
    </row>
    <row r="83" spans="1:25">
      <c r="A83" s="137" t="s">
        <v>607</v>
      </c>
      <c r="B83" s="4">
        <v>63821</v>
      </c>
      <c r="C83" s="4" t="s">
        <v>235</v>
      </c>
      <c r="D83" s="4" t="s">
        <v>592</v>
      </c>
      <c r="E83" s="4" t="s">
        <v>608</v>
      </c>
      <c r="F83" s="5" t="s">
        <v>874</v>
      </c>
      <c r="G83" s="6" t="str">
        <f>HYPERLINK("https://stat100.ameba.jp/tnk47/ratio20/illustrations/card/ill_63821_tenkurorengokantaiteisatsu01.jpg", "■")</f>
        <v>■</v>
      </c>
      <c r="H83" s="4" t="s">
        <v>875</v>
      </c>
      <c r="U83" s="4">
        <v>7</v>
      </c>
      <c r="V83" s="4">
        <v>11970</v>
      </c>
      <c r="W83" s="4">
        <v>13300</v>
      </c>
      <c r="X83" s="4" t="s">
        <v>876</v>
      </c>
      <c r="Y83" s="4" t="s">
        <v>877</v>
      </c>
    </row>
    <row r="84" spans="1:25">
      <c r="A84" s="137"/>
      <c r="B84" s="4">
        <v>63831</v>
      </c>
      <c r="C84" s="4" t="s">
        <v>235</v>
      </c>
      <c r="D84" s="4" t="s">
        <v>592</v>
      </c>
      <c r="E84" s="4" t="s">
        <v>613</v>
      </c>
      <c r="F84" s="5" t="s">
        <v>878</v>
      </c>
      <c r="G84" s="6" t="str">
        <f>HYPERLINK("https://stat100.ameba.jp/tnk47/ratio20/illustrations/card/ill_63831_tenkurorengokantaienshu01.jpg", "■")</f>
        <v>■</v>
      </c>
      <c r="H84" s="4" t="s">
        <v>879</v>
      </c>
      <c r="U84" s="4">
        <v>7</v>
      </c>
      <c r="V84" s="4">
        <v>11970</v>
      </c>
      <c r="W84" s="4">
        <v>13300</v>
      </c>
      <c r="X84" s="4" t="s">
        <v>880</v>
      </c>
      <c r="Y84" s="4" t="s">
        <v>881</v>
      </c>
    </row>
    <row r="85" spans="1:25">
      <c r="A85" s="137"/>
      <c r="B85" s="4">
        <v>63843</v>
      </c>
      <c r="C85" s="4" t="s">
        <v>235</v>
      </c>
      <c r="D85" s="4" t="s">
        <v>601</v>
      </c>
      <c r="E85" s="4" t="s">
        <v>681</v>
      </c>
      <c r="F85" s="5" t="s">
        <v>882</v>
      </c>
      <c r="G85" s="6" t="str">
        <f>HYPERLINK("https://stat100.ameba.jp/tnk47/ratio20/illustrations/card/ill_63843_tenkurorengokantaikessen03.jpg", "■")</f>
        <v>■</v>
      </c>
      <c r="H85" s="4" t="s">
        <v>883</v>
      </c>
      <c r="T85" s="4" t="s">
        <v>818</v>
      </c>
      <c r="U85" s="4">
        <v>7</v>
      </c>
      <c r="V85" s="4">
        <v>42351</v>
      </c>
      <c r="W85" s="4">
        <v>45263</v>
      </c>
      <c r="X85" s="4" t="s">
        <v>884</v>
      </c>
      <c r="Y85" s="4" t="s">
        <v>885</v>
      </c>
    </row>
    <row r="86" spans="1:25">
      <c r="A86" s="137" t="s">
        <v>622</v>
      </c>
      <c r="B86" s="4">
        <v>64801</v>
      </c>
      <c r="C86" s="4" t="s">
        <v>357</v>
      </c>
      <c r="D86" s="4" t="s">
        <v>592</v>
      </c>
      <c r="E86" s="4" t="s">
        <v>608</v>
      </c>
      <c r="F86" s="5" t="s">
        <v>886</v>
      </c>
      <c r="G86" s="6" t="str">
        <f>HYPERLINK("https://stat100.ameba.jp/tnk47/ratio20/illustrations/card/ill_64801_ajiwainowagashihigashi01.jpg", "■")</f>
        <v>■</v>
      </c>
      <c r="H86" s="4" t="s">
        <v>887</v>
      </c>
      <c r="U86" s="4">
        <v>7</v>
      </c>
      <c r="V86" s="4">
        <v>13300</v>
      </c>
      <c r="W86" s="4">
        <v>11970</v>
      </c>
      <c r="X86" s="4" t="s">
        <v>888</v>
      </c>
      <c r="Y86" s="4" t="s">
        <v>889</v>
      </c>
    </row>
    <row r="87" spans="1:25">
      <c r="A87" s="137"/>
      <c r="B87" s="4">
        <v>64811</v>
      </c>
      <c r="C87" s="4" t="s">
        <v>357</v>
      </c>
      <c r="D87" s="4" t="s">
        <v>592</v>
      </c>
      <c r="E87" s="4" t="s">
        <v>613</v>
      </c>
      <c r="F87" s="5" t="s">
        <v>890</v>
      </c>
      <c r="G87" s="6" t="str">
        <f>HYPERLINK("https://stat100.ameba.jp/tnk47/ratio20/illustrations/card/ill_64811_ajiwainowagashinishi01.jpg", "■")</f>
        <v>■</v>
      </c>
      <c r="H87" s="4" t="s">
        <v>891</v>
      </c>
      <c r="U87" s="4">
        <v>7</v>
      </c>
      <c r="V87" s="4">
        <v>13300</v>
      </c>
      <c r="W87" s="4">
        <v>11970</v>
      </c>
      <c r="X87" s="4" t="s">
        <v>892</v>
      </c>
      <c r="Y87" s="4" t="s">
        <v>893</v>
      </c>
    </row>
    <row r="88" spans="1:25">
      <c r="A88" s="137"/>
      <c r="B88" s="4">
        <v>64823</v>
      </c>
      <c r="C88" s="4" t="s">
        <v>357</v>
      </c>
      <c r="D88" s="4" t="s">
        <v>601</v>
      </c>
      <c r="E88" s="4" t="s">
        <v>681</v>
      </c>
      <c r="F88" s="5" t="s">
        <v>894</v>
      </c>
      <c r="G88" s="6" t="str">
        <f>HYPERLINK("https://stat100.ameba.jp/tnk47/ratio20/illustrations/card/ill_64823_ajiwainowagashigokujo03.jpg", "■")</f>
        <v>■</v>
      </c>
      <c r="H88" s="4" t="s">
        <v>895</v>
      </c>
      <c r="T88" s="4" t="s">
        <v>818</v>
      </c>
      <c r="U88" s="4">
        <v>7</v>
      </c>
      <c r="V88" s="4">
        <v>33628</v>
      </c>
      <c r="W88" s="4">
        <v>31474</v>
      </c>
      <c r="X88" s="4" t="s">
        <v>896</v>
      </c>
      <c r="Y88" s="4" t="s">
        <v>897</v>
      </c>
    </row>
    <row r="89" spans="1:25">
      <c r="A89" s="137" t="s">
        <v>633</v>
      </c>
      <c r="B89" s="4">
        <v>65561</v>
      </c>
      <c r="C89" s="4" t="s">
        <v>468</v>
      </c>
      <c r="D89" s="4" t="s">
        <v>592</v>
      </c>
      <c r="E89" s="4" t="s">
        <v>608</v>
      </c>
      <c r="F89" s="5" t="s">
        <v>898</v>
      </c>
      <c r="G89" s="6" t="str">
        <f>HYPERLINK("https://stat100.ameba.jp/tnk47/ratio20/illustrations/card/ill_65561_higashinotenkuromiritarigaru01.jpg", "■")</f>
        <v>■</v>
      </c>
      <c r="H89" s="4" t="s">
        <v>899</v>
      </c>
      <c r="T89" s="4" t="s">
        <v>900</v>
      </c>
      <c r="U89" s="4">
        <v>7</v>
      </c>
      <c r="V89" s="4">
        <v>11970</v>
      </c>
      <c r="W89" s="4">
        <v>13300</v>
      </c>
      <c r="X89" s="4" t="s">
        <v>901</v>
      </c>
      <c r="Y89" s="4" t="s">
        <v>902</v>
      </c>
    </row>
    <row r="90" spans="1:25">
      <c r="A90" s="137"/>
      <c r="B90" s="4">
        <v>65571</v>
      </c>
      <c r="C90" s="4" t="s">
        <v>468</v>
      </c>
      <c r="D90" s="4" t="s">
        <v>592</v>
      </c>
      <c r="E90" s="4" t="s">
        <v>613</v>
      </c>
      <c r="F90" s="5" t="s">
        <v>903</v>
      </c>
      <c r="G90" s="6" t="str">
        <f>HYPERLINK("https://stat100.ameba.jp/tnk47/ratio20/illustrations/card/ill_65571_nishinotenkuromiritarigaru01.jpg", "■")</f>
        <v>■</v>
      </c>
      <c r="H90" s="4" t="s">
        <v>904</v>
      </c>
      <c r="T90" s="4" t="s">
        <v>905</v>
      </c>
      <c r="U90" s="4">
        <v>7</v>
      </c>
      <c r="V90" s="4">
        <v>11970</v>
      </c>
      <c r="W90" s="4">
        <v>13300</v>
      </c>
      <c r="X90" s="4" t="s">
        <v>906</v>
      </c>
      <c r="Y90" s="4" t="s">
        <v>907</v>
      </c>
    </row>
    <row r="91" spans="1:25">
      <c r="A91" s="137"/>
      <c r="B91" s="4">
        <v>65583</v>
      </c>
      <c r="C91" s="4" t="s">
        <v>468</v>
      </c>
      <c r="D91" s="4" t="s">
        <v>601</v>
      </c>
      <c r="E91" s="4" t="s">
        <v>681</v>
      </c>
      <c r="F91" s="5" t="s">
        <v>908</v>
      </c>
      <c r="G91" s="6" t="str">
        <f>HYPERLINK("https://stat100.ameba.jp/tnk47/ratio20/illustrations/card/ill_65583_chijosaikyonotenkuromiritarigaru03.jpg", "■")</f>
        <v>■</v>
      </c>
      <c r="H91" s="4" t="s">
        <v>909</v>
      </c>
      <c r="T91" s="4" t="s">
        <v>910</v>
      </c>
      <c r="U91" s="4">
        <v>7</v>
      </c>
      <c r="V91" s="4">
        <v>27025</v>
      </c>
      <c r="W91" s="4">
        <v>28875</v>
      </c>
      <c r="X91" s="4" t="s">
        <v>911</v>
      </c>
      <c r="Y91" s="4" t="s">
        <v>912</v>
      </c>
    </row>
    <row r="92" spans="1:25">
      <c r="A92" s="137" t="s">
        <v>636</v>
      </c>
      <c r="B92" s="4">
        <v>66261</v>
      </c>
      <c r="C92" s="4" t="s">
        <v>302</v>
      </c>
      <c r="D92" s="4" t="s">
        <v>592</v>
      </c>
      <c r="E92" s="4" t="s">
        <v>608</v>
      </c>
      <c r="F92" s="5" t="s">
        <v>913</v>
      </c>
      <c r="G92" s="6" t="str">
        <f>HYPERLINK("https://stat100.ameba.jp/tnk47/ratio20/illustrations/card/ill_66261_higashinotenkurobudokai01.jpg", "■")</f>
        <v>■</v>
      </c>
      <c r="H92" s="4" t="s">
        <v>914</v>
      </c>
      <c r="T92" s="4" t="s">
        <v>915</v>
      </c>
      <c r="U92" s="4">
        <v>7</v>
      </c>
      <c r="V92" s="4">
        <v>11970</v>
      </c>
      <c r="W92" s="4">
        <v>13300</v>
      </c>
      <c r="X92" s="4" t="s">
        <v>916</v>
      </c>
      <c r="Y92" s="4" t="s">
        <v>917</v>
      </c>
    </row>
    <row r="93" spans="1:25">
      <c r="A93" s="137"/>
      <c r="B93" s="4">
        <v>66271</v>
      </c>
      <c r="C93" s="4" t="s">
        <v>302</v>
      </c>
      <c r="D93" s="4" t="s">
        <v>592</v>
      </c>
      <c r="E93" s="4" t="s">
        <v>613</v>
      </c>
      <c r="F93" s="5" t="s">
        <v>918</v>
      </c>
      <c r="G93" s="6" t="str">
        <f>HYPERLINK("https://stat100.ameba.jp/tnk47/ratio20/illustrations/card/ill_66271_nishinotenkurobudokai01.jpg", "■")</f>
        <v>■</v>
      </c>
      <c r="H93" s="4" t="s">
        <v>919</v>
      </c>
      <c r="U93" s="4">
        <v>7</v>
      </c>
      <c r="V93" s="4">
        <v>11970</v>
      </c>
      <c r="W93" s="4">
        <v>13300</v>
      </c>
      <c r="X93" s="4" t="s">
        <v>920</v>
      </c>
      <c r="Y93" s="4" t="s">
        <v>921</v>
      </c>
    </row>
    <row r="94" spans="1:25">
      <c r="A94" s="137"/>
      <c r="B94" s="4">
        <v>66283</v>
      </c>
      <c r="C94" s="4" t="s">
        <v>302</v>
      </c>
      <c r="D94" s="4" t="s">
        <v>601</v>
      </c>
      <c r="E94" s="4" t="s">
        <v>681</v>
      </c>
      <c r="F94" s="5" t="s">
        <v>922</v>
      </c>
      <c r="G94" s="6" t="str">
        <f>HYPERLINK("https://stat100.ameba.jp/tnk47/ratio20/illustrations/card/ill_66283_saikyoketteisentenkurobudokai02.jpg", "■")</f>
        <v>■</v>
      </c>
      <c r="H94" s="4" t="s">
        <v>923</v>
      </c>
      <c r="T94" s="4" t="s">
        <v>924</v>
      </c>
      <c r="U94" s="4">
        <v>7</v>
      </c>
      <c r="V94" s="4">
        <v>27771</v>
      </c>
      <c r="W94" s="4">
        <v>29669</v>
      </c>
      <c r="X94" s="4" t="s">
        <v>925</v>
      </c>
      <c r="Y94" s="4" t="s">
        <v>926</v>
      </c>
    </row>
    <row r="95" spans="1:25">
      <c r="A95" s="137" t="s">
        <v>647</v>
      </c>
      <c r="B95" s="4">
        <v>67021</v>
      </c>
      <c r="C95" s="4" t="s">
        <v>330</v>
      </c>
      <c r="D95" s="4" t="s">
        <v>592</v>
      </c>
      <c r="E95" s="4" t="s">
        <v>608</v>
      </c>
      <c r="F95" s="5" t="s">
        <v>927</v>
      </c>
      <c r="G95" s="6" t="str">
        <f>HYPERLINK("https://stat100.ameba.jp/tnk47/ratio20/illustrations/card/ill_67021_tenkuromahoshojosutekki01.jpg", "■")</f>
        <v>■</v>
      </c>
      <c r="H95" s="4" t="s">
        <v>928</v>
      </c>
      <c r="U95" s="4">
        <v>9</v>
      </c>
      <c r="V95" s="4">
        <v>17100</v>
      </c>
      <c r="W95" s="4">
        <v>15390</v>
      </c>
      <c r="X95" s="4" t="s">
        <v>929</v>
      </c>
      <c r="Y95" s="4" t="s">
        <v>930</v>
      </c>
    </row>
    <row r="96" spans="1:25">
      <c r="A96" s="137"/>
      <c r="B96" s="4">
        <v>67031</v>
      </c>
      <c r="C96" s="4" t="s">
        <v>330</v>
      </c>
      <c r="D96" s="4" t="s">
        <v>592</v>
      </c>
      <c r="E96" s="4" t="s">
        <v>613</v>
      </c>
      <c r="F96" s="5" t="s">
        <v>931</v>
      </c>
      <c r="G96" s="6" t="str">
        <f>HYPERLINK("https://stat100.ameba.jp/tnk47/ratio20/illustrations/card/ill_67031_tenkuromahoshojokompakuto01.jpg", "■")</f>
        <v>■</v>
      </c>
      <c r="H96" s="4" t="s">
        <v>932</v>
      </c>
      <c r="U96" s="4">
        <v>9</v>
      </c>
      <c r="V96" s="4">
        <v>17100</v>
      </c>
      <c r="W96" s="4">
        <v>15390</v>
      </c>
      <c r="X96" s="4" t="s">
        <v>933</v>
      </c>
      <c r="Y96" s="4" t="s">
        <v>930</v>
      </c>
    </row>
    <row r="97" spans="1:25">
      <c r="A97" s="137"/>
      <c r="B97" s="4">
        <v>67043</v>
      </c>
      <c r="C97" s="4" t="s">
        <v>330</v>
      </c>
      <c r="D97" s="4" t="s">
        <v>601</v>
      </c>
      <c r="E97" s="4" t="s">
        <v>681</v>
      </c>
      <c r="F97" s="5" t="s">
        <v>934</v>
      </c>
      <c r="G97" s="6" t="str">
        <f>HYPERLINK("https://stat100.ameba.jp/tnk47/ratio20/illustrations/card/ill_67043_tenkuromahoshojodaishugo03.jpg", "■")</f>
        <v>■</v>
      </c>
      <c r="H97" s="4" t="s">
        <v>935</v>
      </c>
      <c r="T97" s="4" t="s">
        <v>936</v>
      </c>
      <c r="U97" s="4">
        <v>9</v>
      </c>
      <c r="V97" s="4">
        <v>35766</v>
      </c>
      <c r="W97" s="4">
        <v>33454</v>
      </c>
      <c r="X97" s="4" t="s">
        <v>937</v>
      </c>
      <c r="Y97" s="4" t="s">
        <v>938</v>
      </c>
    </row>
    <row r="98" spans="1:25">
      <c r="A98" s="137" t="s">
        <v>659</v>
      </c>
      <c r="B98" s="4">
        <v>68611</v>
      </c>
      <c r="C98" s="4" t="s">
        <v>216</v>
      </c>
      <c r="D98" s="4" t="s">
        <v>592</v>
      </c>
      <c r="E98" s="4" t="s">
        <v>608</v>
      </c>
      <c r="F98" s="5" t="s">
        <v>939</v>
      </c>
      <c r="G98" s="6" t="str">
        <f>HYPERLINK("https://stat100.ameba.jp/tnk47/ratio20/illustrations/card/ill_68611_seiyanokurimonoribonosoete01.jpg", "■")</f>
        <v>■</v>
      </c>
      <c r="H98" s="4" t="s">
        <v>940</v>
      </c>
      <c r="U98" s="4">
        <v>9</v>
      </c>
      <c r="V98" s="4">
        <v>17100</v>
      </c>
      <c r="W98" s="4">
        <v>15390</v>
      </c>
      <c r="X98" s="4" t="s">
        <v>941</v>
      </c>
      <c r="Y98" s="4" t="s">
        <v>942</v>
      </c>
    </row>
    <row r="99" spans="1:25">
      <c r="A99" s="137"/>
      <c r="B99" s="4">
        <v>68621</v>
      </c>
      <c r="C99" s="4" t="s">
        <v>216</v>
      </c>
      <c r="D99" s="4" t="s">
        <v>592</v>
      </c>
      <c r="E99" s="4" t="s">
        <v>613</v>
      </c>
      <c r="F99" s="5" t="s">
        <v>943</v>
      </c>
      <c r="G99" s="6" t="str">
        <f>HYPERLINK("https://stat100.ameba.jp/tnk47/ratio20/illustrations/card/ill_68621_seiyanokurimonokiratokagayaku01.jpg", "■")</f>
        <v>■</v>
      </c>
      <c r="H99" s="4" t="s">
        <v>944</v>
      </c>
      <c r="U99" s="4">
        <v>9</v>
      </c>
      <c r="V99" s="4">
        <v>17100</v>
      </c>
      <c r="W99" s="4">
        <v>15390</v>
      </c>
      <c r="X99" s="4" t="s">
        <v>945</v>
      </c>
      <c r="Y99" s="4" t="s">
        <v>942</v>
      </c>
    </row>
    <row r="100" spans="1:25">
      <c r="A100" s="137"/>
      <c r="B100" s="4">
        <v>68633</v>
      </c>
      <c r="C100" s="4" t="s">
        <v>216</v>
      </c>
      <c r="D100" s="4" t="s">
        <v>601</v>
      </c>
      <c r="E100" s="4" t="s">
        <v>681</v>
      </c>
      <c r="F100" s="5" t="s">
        <v>946</v>
      </c>
      <c r="G100" s="6" t="str">
        <f>HYPERLINK("https://stat100.ameba.jp/tnk47/ratio20/illustrations/card/ill_68633_seiyanokurimonoderakkusu03.jpg", "■")</f>
        <v>■</v>
      </c>
      <c r="H100" s="4" t="s">
        <v>947</v>
      </c>
      <c r="T100" s="4" t="s">
        <v>936</v>
      </c>
      <c r="U100" s="4">
        <v>9</v>
      </c>
      <c r="V100" s="4">
        <v>38913</v>
      </c>
      <c r="W100" s="4">
        <v>36412</v>
      </c>
      <c r="X100" s="4" t="s">
        <v>948</v>
      </c>
      <c r="Y100" s="4" t="s">
        <v>949</v>
      </c>
    </row>
    <row r="102" spans="1:25">
      <c r="A102" s="4" t="s">
        <v>950</v>
      </c>
    </row>
    <row r="103" spans="1:25">
      <c r="A103" s="137" t="s">
        <v>673</v>
      </c>
      <c r="B103" s="4">
        <v>67861</v>
      </c>
      <c r="C103" s="4" t="s">
        <v>381</v>
      </c>
      <c r="D103" s="4" t="s">
        <v>592</v>
      </c>
      <c r="E103" s="4" t="s">
        <v>608</v>
      </c>
      <c r="F103" s="5" t="s">
        <v>951</v>
      </c>
      <c r="G103" s="6" t="str">
        <f>HYPERLINK("https://stat100.ameba.jp/tnk47/ratio20/illustrations/card/ill_67861_korinokuninotogibanashipurinsesu01.jpg", "■")</f>
        <v>■</v>
      </c>
      <c r="H103" s="4" t="s">
        <v>952</v>
      </c>
      <c r="U103" s="4">
        <v>9</v>
      </c>
      <c r="V103" s="4">
        <v>15390</v>
      </c>
      <c r="W103" s="4">
        <v>17100</v>
      </c>
      <c r="X103" s="4" t="s">
        <v>953</v>
      </c>
      <c r="Y103" s="4" t="s">
        <v>954</v>
      </c>
    </row>
    <row r="104" spans="1:25">
      <c r="A104" s="137"/>
      <c r="B104" s="4">
        <v>67871</v>
      </c>
      <c r="C104" s="4" t="s">
        <v>381</v>
      </c>
      <c r="D104" s="4" t="s">
        <v>592</v>
      </c>
      <c r="E104" s="4" t="s">
        <v>613</v>
      </c>
      <c r="F104" s="5" t="s">
        <v>955</v>
      </c>
      <c r="G104" s="6" t="str">
        <f>HYPERLINK("https://stat100.ameba.jp/tnk47/ratio20/illustrations/card/ill_67871_korinokuninotogibanashikuin01.jpg", "■")</f>
        <v>■</v>
      </c>
      <c r="H104" s="4" t="s">
        <v>956</v>
      </c>
      <c r="U104" s="4">
        <v>9</v>
      </c>
      <c r="V104" s="4">
        <v>15390</v>
      </c>
      <c r="W104" s="4">
        <v>17100</v>
      </c>
      <c r="X104" s="4" t="s">
        <v>957</v>
      </c>
      <c r="Y104" s="4" t="s">
        <v>958</v>
      </c>
    </row>
    <row r="105" spans="1:25">
      <c r="A105" s="137"/>
      <c r="B105" s="4">
        <v>67883</v>
      </c>
      <c r="C105" s="4" t="s">
        <v>381</v>
      </c>
      <c r="D105" s="4" t="s">
        <v>601</v>
      </c>
      <c r="E105" s="4" t="s">
        <v>681</v>
      </c>
      <c r="F105" s="5" t="s">
        <v>959</v>
      </c>
      <c r="G105" s="6" t="str">
        <f>HYPERLINK("https://stat100.ameba.jp/tnk47/ratio20/illustrations/card/ill_67883_kessenkorinokuninotogibanashi03.jpg", "■")</f>
        <v>■</v>
      </c>
      <c r="H105" s="4" t="s">
        <v>960</v>
      </c>
      <c r="T105" s="4" t="s">
        <v>936</v>
      </c>
      <c r="U105" s="4">
        <v>9</v>
      </c>
      <c r="V105" s="4">
        <v>39035</v>
      </c>
      <c r="W105" s="4">
        <v>41775</v>
      </c>
      <c r="X105" s="4" t="s">
        <v>961</v>
      </c>
      <c r="Y105" s="4" t="s">
        <v>962</v>
      </c>
    </row>
    <row r="106" spans="1:25">
      <c r="A106" s="137" t="s">
        <v>687</v>
      </c>
      <c r="B106" s="4">
        <v>69431</v>
      </c>
      <c r="C106" s="4" t="s">
        <v>267</v>
      </c>
      <c r="D106" s="4" t="s">
        <v>592</v>
      </c>
      <c r="E106" s="4" t="s">
        <v>608</v>
      </c>
      <c r="F106" s="5" t="s">
        <v>963</v>
      </c>
      <c r="G106" s="6" t="str">
        <f>HYPERLINK("https://stat100.ameba.jp/tnk47/ratio20/illustrations/card/ill_69431_tenkurorenaijojubarentainkukki01.jpg", "■")</f>
        <v>■</v>
      </c>
      <c r="H106" s="4" t="s">
        <v>964</v>
      </c>
      <c r="U106" s="4">
        <v>9</v>
      </c>
      <c r="V106" s="4">
        <v>15390</v>
      </c>
      <c r="W106" s="4">
        <v>17100</v>
      </c>
      <c r="X106" s="4" t="s">
        <v>965</v>
      </c>
      <c r="Y106" s="4" t="s">
        <v>966</v>
      </c>
    </row>
    <row r="107" spans="1:25">
      <c r="A107" s="137"/>
      <c r="B107" s="4">
        <v>69441</v>
      </c>
      <c r="C107" s="4" t="s">
        <v>267</v>
      </c>
      <c r="D107" s="4" t="s">
        <v>592</v>
      </c>
      <c r="E107" s="4" t="s">
        <v>613</v>
      </c>
      <c r="F107" s="5" t="s">
        <v>967</v>
      </c>
      <c r="G107" s="6" t="str">
        <f>HYPERLINK("https://stat100.ameba.jp/tnk47/ratio20/illustrations/card/ill_69441_tenkurorenaijojubarentainchoko01.jpg", "■")</f>
        <v>■</v>
      </c>
      <c r="H107" s="4" t="s">
        <v>968</v>
      </c>
      <c r="U107" s="4">
        <v>9</v>
      </c>
      <c r="V107" s="4">
        <v>15390</v>
      </c>
      <c r="W107" s="4">
        <v>17100</v>
      </c>
      <c r="X107" s="4" t="s">
        <v>969</v>
      </c>
      <c r="Y107" s="4" t="s">
        <v>966</v>
      </c>
    </row>
    <row r="108" spans="1:25">
      <c r="A108" s="137"/>
      <c r="B108" s="4">
        <v>69453</v>
      </c>
      <c r="C108" s="4" t="s">
        <v>267</v>
      </c>
      <c r="D108" s="4" t="s">
        <v>601</v>
      </c>
      <c r="E108" s="4" t="s">
        <v>681</v>
      </c>
      <c r="F108" s="5" t="s">
        <v>970</v>
      </c>
      <c r="G108" s="6" t="str">
        <f>HYPERLINK("https://stat100.ameba.jp/tnk47/ratio20/illustrations/card/ill_69453_tenkurorenaijojubarentainrabu03.jpg", "■")</f>
        <v>■</v>
      </c>
      <c r="H108" s="4" t="s">
        <v>971</v>
      </c>
      <c r="T108" s="4" t="s">
        <v>936</v>
      </c>
      <c r="U108" s="4">
        <v>9</v>
      </c>
      <c r="V108" s="4">
        <v>34948</v>
      </c>
      <c r="W108" s="4">
        <v>37349</v>
      </c>
      <c r="X108" s="4" t="s">
        <v>972</v>
      </c>
      <c r="Y108" s="4" t="s">
        <v>973</v>
      </c>
    </row>
    <row r="109" spans="1:25">
      <c r="A109" s="137" t="s">
        <v>700</v>
      </c>
      <c r="B109" s="4">
        <v>70301</v>
      </c>
      <c r="C109" s="4" t="s">
        <v>357</v>
      </c>
      <c r="D109" s="4" t="s">
        <v>592</v>
      </c>
      <c r="E109" s="4" t="s">
        <v>608</v>
      </c>
      <c r="F109" s="5" t="s">
        <v>974</v>
      </c>
      <c r="G109" s="6" t="str">
        <f>HYPERLINK("https://stat100.ameba.jp/tnk47/ratio20/illustrations/card/ill_70301_imagashuntamagonotagehigashi01.jpg", "■")</f>
        <v>■</v>
      </c>
      <c r="H109" s="4" t="s">
        <v>975</v>
      </c>
      <c r="U109" s="4">
        <v>9</v>
      </c>
      <c r="V109" s="4">
        <v>15390</v>
      </c>
      <c r="W109" s="4">
        <v>17100</v>
      </c>
      <c r="X109" s="4" t="s">
        <v>976</v>
      </c>
      <c r="Y109" s="4" t="s">
        <v>977</v>
      </c>
    </row>
    <row r="110" spans="1:25">
      <c r="A110" s="137"/>
      <c r="B110" s="4">
        <v>70311</v>
      </c>
      <c r="C110" s="4" t="s">
        <v>357</v>
      </c>
      <c r="D110" s="4" t="s">
        <v>592</v>
      </c>
      <c r="E110" s="4" t="s">
        <v>613</v>
      </c>
      <c r="F110" s="5" t="s">
        <v>978</v>
      </c>
      <c r="G110" s="6" t="str">
        <f>HYPERLINK("https://stat100.ameba.jp/tnk47/ratio20/illustrations/card/ill_70311_imagashuntamagonotagenishi01.jpg", "■")</f>
        <v>■</v>
      </c>
      <c r="H110" s="4" t="s">
        <v>979</v>
      </c>
      <c r="U110" s="4">
        <v>9</v>
      </c>
      <c r="V110" s="4">
        <v>15390</v>
      </c>
      <c r="W110" s="4">
        <v>17100</v>
      </c>
      <c r="X110" s="4" t="s">
        <v>980</v>
      </c>
      <c r="Y110" s="4" t="s">
        <v>981</v>
      </c>
    </row>
    <row r="111" spans="1:25">
      <c r="A111" s="137"/>
      <c r="B111" s="4">
        <v>70323</v>
      </c>
      <c r="C111" s="4" t="s">
        <v>357</v>
      </c>
      <c r="D111" s="4" t="s">
        <v>601</v>
      </c>
      <c r="E111" s="4" t="s">
        <v>681</v>
      </c>
      <c r="F111" s="5" t="s">
        <v>982</v>
      </c>
      <c r="G111" s="6" t="str">
        <f>HYPERLINK("https://stat100.ameba.jp/tnk47/ratio20/illustrations/card/ill_70323_tabetsukushiimagashuntamagonotage03.jpg", "■")</f>
        <v>■</v>
      </c>
      <c r="H111" s="4" t="s">
        <v>983</v>
      </c>
      <c r="T111" s="4" t="s">
        <v>984</v>
      </c>
      <c r="U111" s="4">
        <v>9</v>
      </c>
      <c r="V111" s="4">
        <v>40466</v>
      </c>
      <c r="W111" s="4">
        <v>43237</v>
      </c>
      <c r="X111" s="4" t="s">
        <v>985</v>
      </c>
      <c r="Y111" s="4" t="s">
        <v>986</v>
      </c>
    </row>
    <row r="112" spans="1:25">
      <c r="A112" s="137" t="s">
        <v>713</v>
      </c>
      <c r="B112" s="4">
        <v>71231</v>
      </c>
      <c r="C112" s="4" t="s">
        <v>235</v>
      </c>
      <c r="D112" s="4" t="s">
        <v>592</v>
      </c>
      <c r="E112" s="4" t="s">
        <v>608</v>
      </c>
      <c r="F112" s="5" t="s">
        <v>987</v>
      </c>
      <c r="G112" s="6" t="str">
        <f>HYPERLINK("https://stat100.ameba.jp/tnk47/ratio20/illustrations/card/ill_71231_tenkurojikeidanhigashikokumimawari01.jpg", "■")</f>
        <v>■</v>
      </c>
      <c r="H112" s="4" t="s">
        <v>988</v>
      </c>
      <c r="U112" s="4">
        <v>9</v>
      </c>
      <c r="V112" s="4">
        <v>15390</v>
      </c>
      <c r="W112" s="4">
        <v>17100</v>
      </c>
      <c r="X112" s="4" t="s">
        <v>989</v>
      </c>
      <c r="Y112" s="4" t="s">
        <v>990</v>
      </c>
    </row>
    <row r="113" spans="1:25">
      <c r="A113" s="137"/>
      <c r="B113" s="4">
        <v>71241</v>
      </c>
      <c r="C113" s="4" t="s">
        <v>235</v>
      </c>
      <c r="D113" s="4" t="s">
        <v>592</v>
      </c>
      <c r="E113" s="4" t="s">
        <v>613</v>
      </c>
      <c r="F113" s="5" t="s">
        <v>991</v>
      </c>
      <c r="G113" s="6" t="str">
        <f>HYPERLINK("https://stat100.ameba.jp/tnk47/ratio20/illustrations/card/ill_71241_tenkurojikeidannishikokumimawari01.jpg", "■")</f>
        <v>■</v>
      </c>
      <c r="H113" s="4" t="s">
        <v>992</v>
      </c>
      <c r="U113" s="4">
        <v>9</v>
      </c>
      <c r="V113" s="4">
        <v>15390</v>
      </c>
      <c r="W113" s="4">
        <v>17100</v>
      </c>
      <c r="X113" s="4" t="s">
        <v>993</v>
      </c>
      <c r="Y113" s="4" t="s">
        <v>990</v>
      </c>
    </row>
    <row r="114" spans="1:25">
      <c r="A114" s="137"/>
      <c r="B114" s="4">
        <v>71253</v>
      </c>
      <c r="C114" s="4" t="s">
        <v>235</v>
      </c>
      <c r="D114" s="4" t="s">
        <v>601</v>
      </c>
      <c r="E114" s="4" t="s">
        <v>681</v>
      </c>
      <c r="F114" s="5" t="s">
        <v>994</v>
      </c>
      <c r="G114" s="6" t="str">
        <f>HYPERLINK("https://stat100.ameba.jp/tnk47/ratio20/illustrations/card/ill_71253_tenkurojikeidantenkataihei03.jpg", "■")</f>
        <v>■</v>
      </c>
      <c r="H114" s="4" t="s">
        <v>995</v>
      </c>
      <c r="T114" s="4" t="s">
        <v>996</v>
      </c>
      <c r="U114" s="4">
        <v>9</v>
      </c>
      <c r="V114" s="4">
        <v>33454</v>
      </c>
      <c r="W114" s="4">
        <v>35766</v>
      </c>
      <c r="X114" s="4" t="s">
        <v>997</v>
      </c>
      <c r="Y114" s="4" t="s">
        <v>998</v>
      </c>
    </row>
    <row r="115" spans="1:25">
      <c r="A115" s="137" t="s">
        <v>726</v>
      </c>
      <c r="B115" s="4">
        <v>72081</v>
      </c>
      <c r="C115" s="4" t="s">
        <v>272</v>
      </c>
      <c r="D115" s="4" t="s">
        <v>592</v>
      </c>
      <c r="E115" s="4" t="s">
        <v>608</v>
      </c>
      <c r="F115" s="5" t="s">
        <v>999</v>
      </c>
      <c r="G115" s="6" t="str">
        <f>HYPERLINK("https://stat100.ameba.jp/tnk47/ratio20/illustrations/card/ill_72081_tenkurokiyoeshihigashinoeshi01.jpg", "■")</f>
        <v>■</v>
      </c>
      <c r="H115" s="4" t="s">
        <v>1000</v>
      </c>
      <c r="U115" s="4">
        <v>9</v>
      </c>
      <c r="V115" s="4">
        <v>15390</v>
      </c>
      <c r="W115" s="4">
        <v>17100</v>
      </c>
      <c r="X115" s="4" t="s">
        <v>1001</v>
      </c>
      <c r="Y115" s="4" t="s">
        <v>1002</v>
      </c>
    </row>
    <row r="116" spans="1:25">
      <c r="A116" s="137"/>
      <c r="B116" s="4">
        <v>72091</v>
      </c>
      <c r="C116" s="4" t="s">
        <v>272</v>
      </c>
      <c r="D116" s="4" t="s">
        <v>592</v>
      </c>
      <c r="E116" s="4" t="s">
        <v>613</v>
      </c>
      <c r="F116" s="5" t="s">
        <v>1003</v>
      </c>
      <c r="G116" s="6" t="str">
        <f>HYPERLINK("https://stat100.ameba.jp/tnk47/ratio20/illustrations/card/ill_72091_tenkurokiyoeshinishinoeshi01.jpg", "■")</f>
        <v>■</v>
      </c>
      <c r="H116" s="4" t="s">
        <v>1004</v>
      </c>
      <c r="U116" s="4">
        <v>9</v>
      </c>
      <c r="V116" s="4">
        <v>15390</v>
      </c>
      <c r="W116" s="4">
        <v>17100</v>
      </c>
      <c r="X116" s="4" t="s">
        <v>1005</v>
      </c>
      <c r="Y116" s="4" t="s">
        <v>1002</v>
      </c>
    </row>
    <row r="117" spans="1:25">
      <c r="A117" s="137"/>
      <c r="B117" s="4">
        <v>72103</v>
      </c>
      <c r="C117" s="4" t="s">
        <v>272</v>
      </c>
      <c r="D117" s="4" t="s">
        <v>601</v>
      </c>
      <c r="E117" s="4" t="s">
        <v>1006</v>
      </c>
      <c r="F117" s="5" t="s">
        <v>1007</v>
      </c>
      <c r="G117" s="6" t="str">
        <f>HYPERLINK("https://stat100.ameba.jp/tnk47/ratio20/illustrations/card/ill_72103_tenkurokiyoeshidaishugo03.jpg", "■")</f>
        <v>■</v>
      </c>
      <c r="H117" s="4" t="s">
        <v>1008</v>
      </c>
      <c r="T117" s="4" t="s">
        <v>996</v>
      </c>
      <c r="U117" s="4">
        <v>9</v>
      </c>
      <c r="V117" s="4">
        <v>33454</v>
      </c>
      <c r="W117" s="4">
        <v>35766</v>
      </c>
      <c r="X117" s="4" t="s">
        <v>1009</v>
      </c>
      <c r="Y117" s="4" t="s">
        <v>1010</v>
      </c>
    </row>
    <row r="118" spans="1:25">
      <c r="A118" s="137" t="s">
        <v>591</v>
      </c>
      <c r="B118" s="4">
        <v>72871</v>
      </c>
      <c r="C118" s="4" t="s">
        <v>468</v>
      </c>
      <c r="D118" s="4" t="s">
        <v>592</v>
      </c>
      <c r="E118" s="4" t="s">
        <v>608</v>
      </c>
      <c r="F118" s="5" t="s">
        <v>1011</v>
      </c>
      <c r="G118" s="6" t="str">
        <f>HYPERLINK("https://stat100.ameba.jp/tnk47/ratio20/illustrations/card/ill_72871_tenkurobammenjonoshobushihigashinoitte01.jpg", "■")</f>
        <v>■</v>
      </c>
      <c r="H118" s="4" t="s">
        <v>1012</v>
      </c>
      <c r="U118" s="4">
        <v>9</v>
      </c>
      <c r="V118" s="4">
        <v>17100</v>
      </c>
      <c r="W118" s="4">
        <v>15390</v>
      </c>
      <c r="X118" s="4" t="s">
        <v>1013</v>
      </c>
      <c r="Y118" s="4" t="s">
        <v>1014</v>
      </c>
    </row>
    <row r="119" spans="1:25">
      <c r="A119" s="137"/>
      <c r="B119" s="4">
        <v>72881</v>
      </c>
      <c r="C119" s="4" t="s">
        <v>468</v>
      </c>
      <c r="D119" s="4" t="s">
        <v>592</v>
      </c>
      <c r="E119" s="4" t="s">
        <v>613</v>
      </c>
      <c r="F119" s="5" t="s">
        <v>1015</v>
      </c>
      <c r="G119" s="6" t="str">
        <f>HYPERLINK("https://stat100.ameba.jp/tnk47/ratio20/illustrations/card/ill_72881_tenkurobammenjonoshobushinishinoitte01.jpg", "■")</f>
        <v>■</v>
      </c>
      <c r="H119" s="4" t="s">
        <v>1016</v>
      </c>
      <c r="U119" s="4">
        <v>9</v>
      </c>
      <c r="V119" s="4">
        <v>17100</v>
      </c>
      <c r="W119" s="4">
        <v>15390</v>
      </c>
      <c r="X119" s="4" t="s">
        <v>1017</v>
      </c>
      <c r="Y119" s="4" t="s">
        <v>1018</v>
      </c>
    </row>
    <row r="120" spans="1:25">
      <c r="A120" s="137"/>
      <c r="B120" s="4">
        <v>72893</v>
      </c>
      <c r="C120" s="4" t="s">
        <v>468</v>
      </c>
      <c r="D120" s="4" t="s">
        <v>601</v>
      </c>
      <c r="E120" s="4" t="s">
        <v>1006</v>
      </c>
      <c r="F120" s="5" t="s">
        <v>1019</v>
      </c>
      <c r="G120" s="6" t="str">
        <f>HYPERLINK("https://stat100.ameba.jp/tnk47/ratio20/illustrations/card/ill_72893_tenkurobammenjonoshobushi03.jpg", "■")</f>
        <v>■</v>
      </c>
      <c r="H120" s="4" t="s">
        <v>1020</v>
      </c>
      <c r="T120" s="4" t="s">
        <v>996</v>
      </c>
      <c r="U120" s="4">
        <v>9</v>
      </c>
      <c r="V120" s="4">
        <v>37125</v>
      </c>
      <c r="W120" s="4">
        <v>34747</v>
      </c>
      <c r="X120" s="4" t="s">
        <v>1021</v>
      </c>
      <c r="Y120" s="4" t="s">
        <v>1022</v>
      </c>
    </row>
    <row r="121" spans="1:25">
      <c r="A121" s="137" t="s">
        <v>607</v>
      </c>
      <c r="B121" s="4">
        <v>73681</v>
      </c>
      <c r="C121" s="4" t="s">
        <v>302</v>
      </c>
      <c r="D121" s="4" t="s">
        <v>592</v>
      </c>
      <c r="E121" s="4" t="s">
        <v>608</v>
      </c>
      <c r="F121" s="5" t="s">
        <v>1023</v>
      </c>
      <c r="G121" s="6" t="str">
        <f>HYPERLINK("https://stat100.ameba.jp/tnk47/ratio20/illustrations/card/ill_73681_tenkurobakemonodaishugohigashinihon01.jpg", "■")</f>
        <v>■</v>
      </c>
      <c r="H121" s="4" t="s">
        <v>1024</v>
      </c>
      <c r="U121" s="4">
        <v>9</v>
      </c>
      <c r="V121" s="4">
        <v>17100</v>
      </c>
      <c r="W121" s="4">
        <v>15390</v>
      </c>
      <c r="X121" s="4" t="s">
        <v>1025</v>
      </c>
      <c r="Y121" s="4" t="s">
        <v>1026</v>
      </c>
    </row>
    <row r="122" spans="1:25">
      <c r="A122" s="137"/>
      <c r="B122" s="4">
        <v>73691</v>
      </c>
      <c r="C122" s="4" t="s">
        <v>302</v>
      </c>
      <c r="D122" s="4" t="s">
        <v>592</v>
      </c>
      <c r="E122" s="4" t="s">
        <v>613</v>
      </c>
      <c r="F122" s="5" t="s">
        <v>1027</v>
      </c>
      <c r="G122" s="6" t="str">
        <f>HYPERLINK("https://stat100.ameba.jp/tnk47/ratio20/illustrations/card/ill_73691_tenkurobakemonodaishugonishinihon01.jpg", "■")</f>
        <v>■</v>
      </c>
      <c r="H122" s="4" t="s">
        <v>1028</v>
      </c>
      <c r="U122" s="4">
        <v>9</v>
      </c>
      <c r="V122" s="4">
        <v>17100</v>
      </c>
      <c r="W122" s="4">
        <v>15390</v>
      </c>
      <c r="X122" s="4" t="s">
        <v>1029</v>
      </c>
      <c r="Y122" s="4" t="s">
        <v>1030</v>
      </c>
    </row>
    <row r="123" spans="1:25">
      <c r="A123" s="137"/>
      <c r="B123" s="4">
        <v>73703</v>
      </c>
      <c r="C123" s="4" t="s">
        <v>302</v>
      </c>
      <c r="D123" s="4" t="s">
        <v>601</v>
      </c>
      <c r="E123" s="4" t="s">
        <v>1006</v>
      </c>
      <c r="F123" s="5" t="s">
        <v>1031</v>
      </c>
      <c r="G123" s="6" t="str">
        <f>HYPERLINK("https://stat100.ameba.jp/tnk47/ratio20/illustrations/card/ill_73703_tenkurobakemonodaishugo03.jpg", "■")</f>
        <v>■</v>
      </c>
      <c r="H123" s="4" t="s">
        <v>1032</v>
      </c>
      <c r="T123" t="s">
        <v>984</v>
      </c>
      <c r="U123" s="4">
        <v>9</v>
      </c>
      <c r="V123" s="4">
        <v>38146</v>
      </c>
      <c r="W123" s="4">
        <v>35706</v>
      </c>
      <c r="X123" s="4" t="s">
        <v>1033</v>
      </c>
      <c r="Y123" s="4" t="s">
        <v>1034</v>
      </c>
    </row>
    <row r="124" spans="1:25">
      <c r="A124" s="137" t="s">
        <v>622</v>
      </c>
      <c r="B124" s="4">
        <v>74501</v>
      </c>
      <c r="C124" s="4" t="s">
        <v>330</v>
      </c>
      <c r="D124" s="4" t="s">
        <v>592</v>
      </c>
      <c r="E124" s="4" t="s">
        <v>608</v>
      </c>
      <c r="F124" s="5" t="s">
        <v>1035</v>
      </c>
      <c r="G124" s="6" t="str">
        <f>HYPERLINK("https://stat100.ameba.jp/tnk47/ratio20/illustrations/card/ill_74501_tenkurosamasutorihigashinohamabe01.jpg", "■")</f>
        <v>■</v>
      </c>
      <c r="H124" s="4" t="s">
        <v>1036</v>
      </c>
      <c r="U124" s="4">
        <v>9</v>
      </c>
      <c r="V124" s="4">
        <v>15390</v>
      </c>
      <c r="W124" s="4">
        <v>17100</v>
      </c>
      <c r="X124" s="4" t="s">
        <v>1037</v>
      </c>
      <c r="Y124" s="4" t="s">
        <v>844</v>
      </c>
    </row>
    <row r="125" spans="1:25">
      <c r="A125" s="137"/>
      <c r="B125" s="4">
        <v>74511</v>
      </c>
      <c r="C125" s="4" t="s">
        <v>330</v>
      </c>
      <c r="D125" s="4" t="s">
        <v>592</v>
      </c>
      <c r="E125" s="4" t="s">
        <v>613</v>
      </c>
      <c r="F125" s="5" t="s">
        <v>1038</v>
      </c>
      <c r="G125" s="6" t="str">
        <f>HYPERLINK("https://stat100.ameba.jp/tnk47/ratio20/illustrations/card/ill_74511_tenkurosamasutorinishinohamabe01.jpg", "■")</f>
        <v>■</v>
      </c>
      <c r="H125" s="4" t="s">
        <v>1039</v>
      </c>
      <c r="U125" s="4">
        <v>9</v>
      </c>
      <c r="V125" s="4">
        <v>15390</v>
      </c>
      <c r="W125" s="4">
        <v>17100</v>
      </c>
      <c r="X125" s="4" t="s">
        <v>1040</v>
      </c>
      <c r="Y125" s="4" t="s">
        <v>844</v>
      </c>
    </row>
    <row r="126" spans="1:25">
      <c r="A126" s="137"/>
      <c r="B126" s="4">
        <v>74523</v>
      </c>
      <c r="C126" s="4" t="s">
        <v>330</v>
      </c>
      <c r="D126" s="4" t="s">
        <v>601</v>
      </c>
      <c r="E126" s="4" t="s">
        <v>1006</v>
      </c>
      <c r="F126" s="5" t="s">
        <v>1041</v>
      </c>
      <c r="G126" s="6" t="str">
        <f>HYPERLINK("https://stat100.ameba.jp/tnk47/ratio20/illustrations/card/ill_74523_tenkurosamasutorimizugibijonokyoen03.jpg", "■")</f>
        <v>■</v>
      </c>
      <c r="H126" s="4" t="s">
        <v>1042</v>
      </c>
      <c r="T126" s="4" t="s">
        <v>1043</v>
      </c>
      <c r="U126" s="4">
        <v>9</v>
      </c>
      <c r="V126" s="4">
        <v>33454</v>
      </c>
      <c r="W126" s="4">
        <v>35766</v>
      </c>
      <c r="X126" s="4" t="s">
        <v>1044</v>
      </c>
      <c r="Y126" s="4" t="s">
        <v>1045</v>
      </c>
    </row>
    <row r="127" spans="1:25">
      <c r="A127" s="137" t="s">
        <v>633</v>
      </c>
      <c r="B127" s="4">
        <v>75301</v>
      </c>
      <c r="C127" s="4" t="s">
        <v>216</v>
      </c>
      <c r="D127" s="4" t="s">
        <v>592</v>
      </c>
      <c r="E127" s="4" t="s">
        <v>608</v>
      </c>
      <c r="F127" s="5" t="s">
        <v>1046</v>
      </c>
      <c r="G127" s="6" t="str">
        <f>HYPERLINK("https://stat100.ameba.jp/tnk47/ratio20/illustrations/card/ill_75301_tenkuropawasupottohigashinoshimajima01.jpg", "■")</f>
        <v>■</v>
      </c>
      <c r="H127" s="4" t="s">
        <v>1047</v>
      </c>
      <c r="U127" s="4">
        <v>9</v>
      </c>
      <c r="V127" s="4">
        <v>17100</v>
      </c>
      <c r="W127" s="4">
        <v>15390</v>
      </c>
      <c r="X127" s="4" t="s">
        <v>1048</v>
      </c>
      <c r="Y127" s="4" t="s">
        <v>1049</v>
      </c>
    </row>
    <row r="128" spans="1:25">
      <c r="A128" s="137"/>
      <c r="B128" s="4">
        <v>75311</v>
      </c>
      <c r="C128" s="4" t="s">
        <v>216</v>
      </c>
      <c r="D128" s="4" t="s">
        <v>592</v>
      </c>
      <c r="E128" s="4" t="s">
        <v>613</v>
      </c>
      <c r="F128" s="5" t="s">
        <v>1050</v>
      </c>
      <c r="G128" s="6" t="str">
        <f>HYPERLINK("https://stat100.ameba.jp/tnk47/ratio20/illustrations/card/ill_75311_tenkuropawasupottonishinoshimajima01.jpg", "■")</f>
        <v>■</v>
      </c>
      <c r="H128" s="4" t="s">
        <v>1051</v>
      </c>
      <c r="U128" s="4">
        <v>9</v>
      </c>
      <c r="V128" s="4">
        <v>17100</v>
      </c>
      <c r="W128" s="4">
        <v>15390</v>
      </c>
      <c r="X128" s="4" t="s">
        <v>1052</v>
      </c>
      <c r="Y128" s="4" t="s">
        <v>1049</v>
      </c>
    </row>
    <row r="129" spans="1:25">
      <c r="A129" s="137"/>
      <c r="B129" s="4">
        <v>75323</v>
      </c>
      <c r="C129" s="4" t="s">
        <v>216</v>
      </c>
      <c r="D129" s="4" t="s">
        <v>601</v>
      </c>
      <c r="E129" s="4" t="s">
        <v>1006</v>
      </c>
      <c r="F129" s="5" t="s">
        <v>1053</v>
      </c>
      <c r="G129" s="6" t="str">
        <f>HYPERLINK("https://stat100.ameba.jp/tnk47/ratio20/illustrations/card/ill_75323_tenkuropawasupottonihonnorakuen03.jpg", "■")</f>
        <v>■</v>
      </c>
      <c r="H129" s="4" t="s">
        <v>1054</v>
      </c>
      <c r="T129" s="4" t="s">
        <v>1055</v>
      </c>
      <c r="U129" s="4">
        <v>9</v>
      </c>
      <c r="V129" s="4">
        <v>38913</v>
      </c>
      <c r="W129" s="4">
        <v>36412</v>
      </c>
      <c r="X129" s="4" t="s">
        <v>1056</v>
      </c>
      <c r="Y129" s="4" t="s">
        <v>1057</v>
      </c>
    </row>
    <row r="130" spans="1:25">
      <c r="A130" s="137" t="s">
        <v>636</v>
      </c>
      <c r="B130" s="4">
        <v>76211</v>
      </c>
      <c r="C130" s="4" t="s">
        <v>43</v>
      </c>
      <c r="D130" s="4" t="s">
        <v>592</v>
      </c>
      <c r="E130" s="4" t="s">
        <v>608</v>
      </c>
      <c r="F130" s="5" t="s">
        <v>1058</v>
      </c>
      <c r="G130" s="6" t="str">
        <f>HYPERLINK("https://stat100.ameba.jp/tnk47/ratio20/illustrations/card/ill_76211_sonobuguotenihigashinokata01.jpg", "■")</f>
        <v>■</v>
      </c>
      <c r="H130" s="4" t="s">
        <v>1059</v>
      </c>
      <c r="U130" s="4">
        <v>9</v>
      </c>
      <c r="V130" s="4">
        <v>17100</v>
      </c>
      <c r="W130" s="4">
        <v>15390</v>
      </c>
      <c r="X130" s="4" t="s">
        <v>1060</v>
      </c>
      <c r="Y130" s="4" t="s">
        <v>1061</v>
      </c>
    </row>
    <row r="131" spans="1:25">
      <c r="A131" s="137"/>
      <c r="B131" s="4">
        <v>76221</v>
      </c>
      <c r="C131" s="4" t="s">
        <v>43</v>
      </c>
      <c r="D131" s="4" t="s">
        <v>592</v>
      </c>
      <c r="E131" s="4" t="s">
        <v>613</v>
      </c>
      <c r="F131" s="5" t="s">
        <v>1062</v>
      </c>
      <c r="G131" s="6" t="str">
        <f>HYPERLINK("https://stat100.ameba.jp/tnk47/ratio20/illustrations/card/ill_76221_sonobuguoteninishinokata01.jpg", "■")</f>
        <v>■</v>
      </c>
      <c r="H131" s="4" t="s">
        <v>1063</v>
      </c>
      <c r="U131" s="4">
        <v>9</v>
      </c>
      <c r="V131" s="4">
        <v>17100</v>
      </c>
      <c r="W131" s="4">
        <v>15390</v>
      </c>
      <c r="X131" s="4" t="s">
        <v>1064</v>
      </c>
      <c r="Y131" s="4" t="s">
        <v>1065</v>
      </c>
    </row>
    <row r="132" spans="1:25">
      <c r="A132" s="137"/>
      <c r="B132" s="4">
        <v>76233</v>
      </c>
      <c r="C132" s="4" t="s">
        <v>43</v>
      </c>
      <c r="D132" s="4" t="s">
        <v>601</v>
      </c>
      <c r="E132" s="4" t="s">
        <v>1006</v>
      </c>
      <c r="F132" s="5" t="s">
        <v>1066</v>
      </c>
      <c r="G132" s="6" t="str">
        <f>HYPERLINK("https://stat100.ameba.jp/tnk47/ratio20/illustrations/card/ill_76233_sonobuguotenitenkanoippin03.jpg", "■")</f>
        <v>■</v>
      </c>
      <c r="H132" s="4" t="s">
        <v>1067</v>
      </c>
      <c r="T132" s="4" t="s">
        <v>1068</v>
      </c>
      <c r="U132" s="4">
        <v>9</v>
      </c>
      <c r="V132" s="4">
        <v>41775</v>
      </c>
      <c r="W132" s="4">
        <v>39035</v>
      </c>
      <c r="X132" s="4" t="s">
        <v>1069</v>
      </c>
      <c r="Y132" s="4" t="s">
        <v>1070</v>
      </c>
    </row>
    <row r="133" spans="1:25">
      <c r="A133" s="137" t="s">
        <v>647</v>
      </c>
      <c r="B133" s="4">
        <v>77081</v>
      </c>
      <c r="C133" s="4" t="s">
        <v>63</v>
      </c>
      <c r="D133" s="4" t="s">
        <v>592</v>
      </c>
      <c r="E133" s="4" t="s">
        <v>608</v>
      </c>
      <c r="F133" s="5" t="s">
        <v>1071</v>
      </c>
      <c r="G133" s="6" t="str">
        <f>HYPERLINK("https://stat100.ameba.jp/tnk47/ratio20/illustrations/card/ill_77081_tenkurofuearizuhigashinoyoseitachi01.jpg", "■")</f>
        <v>■</v>
      </c>
      <c r="H133" s="4" t="s">
        <v>1072</v>
      </c>
      <c r="U133" s="4">
        <v>9</v>
      </c>
      <c r="V133" s="4">
        <v>17100</v>
      </c>
      <c r="W133" s="4">
        <v>15390</v>
      </c>
      <c r="X133" s="4" t="s">
        <v>1073</v>
      </c>
      <c r="Y133" s="4" t="s">
        <v>1074</v>
      </c>
    </row>
    <row r="134" spans="1:25">
      <c r="A134" s="137"/>
      <c r="B134" s="4">
        <v>77091</v>
      </c>
      <c r="C134" s="4" t="s">
        <v>63</v>
      </c>
      <c r="D134" s="4" t="s">
        <v>592</v>
      </c>
      <c r="E134" s="4" t="s">
        <v>613</v>
      </c>
      <c r="F134" s="5" t="s">
        <v>1075</v>
      </c>
      <c r="G134" s="6" t="str">
        <f>HYPERLINK("https://stat100.ameba.jp/tnk47/ratio20/illustrations/card/ill_77091_tenkurofuearizunishinoyoseitachi01.jpg", "■")</f>
        <v>■</v>
      </c>
      <c r="H134" s="4" t="s">
        <v>1076</v>
      </c>
      <c r="U134" s="4">
        <v>9</v>
      </c>
      <c r="V134" s="4">
        <v>17100</v>
      </c>
      <c r="W134" s="4">
        <v>15390</v>
      </c>
      <c r="X134" s="4" t="s">
        <v>1077</v>
      </c>
      <c r="Y134" s="4" t="s">
        <v>1074</v>
      </c>
    </row>
    <row r="135" spans="1:25">
      <c r="A135" s="137"/>
      <c r="B135" s="4">
        <v>77103</v>
      </c>
      <c r="C135" s="4" t="s">
        <v>63</v>
      </c>
      <c r="D135" s="4" t="s">
        <v>601</v>
      </c>
      <c r="E135" s="4" t="s">
        <v>1006</v>
      </c>
      <c r="F135" s="5" t="s">
        <v>1078</v>
      </c>
      <c r="G135" s="6" t="str">
        <f>HYPERLINK("https://stat100.ameba.jp/tnk47/ratio20/illustrations/card/ill_77103_tenkurofuearizumiwakunoyoseitachi03.jpg", "■")</f>
        <v>■</v>
      </c>
      <c r="H135" s="4" t="s">
        <v>1079</v>
      </c>
      <c r="T135" s="4" t="s">
        <v>1080</v>
      </c>
      <c r="U135" s="4">
        <v>9</v>
      </c>
      <c r="V135" s="4">
        <v>37349</v>
      </c>
      <c r="W135" s="4">
        <v>34948</v>
      </c>
      <c r="X135" s="4" t="s">
        <v>1081</v>
      </c>
      <c r="Y135" s="4" t="s">
        <v>1082</v>
      </c>
    </row>
    <row r="136" spans="1:25">
      <c r="A136" s="137" t="s">
        <v>659</v>
      </c>
      <c r="B136" s="4">
        <v>77871</v>
      </c>
      <c r="C136" s="4" t="s">
        <v>107</v>
      </c>
      <c r="D136" s="4" t="s">
        <v>592</v>
      </c>
      <c r="E136" s="4" t="s">
        <v>608</v>
      </c>
      <c r="F136" s="5" t="s">
        <v>1083</v>
      </c>
      <c r="G136" s="6" t="str">
        <f>HYPERLINK("https://stat100.ameba.jp/tnk47/ratio20/illustrations/card/ill_77871_tokusenfurutsumoriawasehigashinofurutsu01.jpg", "■")</f>
        <v>■</v>
      </c>
      <c r="H136" s="4" t="s">
        <v>1084</v>
      </c>
      <c r="U136" s="4">
        <v>9</v>
      </c>
      <c r="V136" s="4">
        <v>17100</v>
      </c>
      <c r="W136" s="4">
        <v>15390</v>
      </c>
      <c r="X136" s="4" t="s">
        <v>1085</v>
      </c>
      <c r="Y136" s="4" t="s">
        <v>889</v>
      </c>
    </row>
    <row r="137" spans="1:25">
      <c r="A137" s="137"/>
      <c r="B137" s="4">
        <v>77881</v>
      </c>
      <c r="C137" s="4" t="s">
        <v>107</v>
      </c>
      <c r="D137" s="4" t="s">
        <v>592</v>
      </c>
      <c r="E137" s="4" t="s">
        <v>613</v>
      </c>
      <c r="F137" s="5" t="s">
        <v>1086</v>
      </c>
      <c r="G137" s="6" t="str">
        <f>HYPERLINK("https://stat100.ameba.jp/tnk47/ratio20/illustrations/card/ill_77881_tokusenfurutsumoriawasenishinofurutsu01.jpg", "■")</f>
        <v>■</v>
      </c>
      <c r="H137" s="4" t="s">
        <v>1087</v>
      </c>
      <c r="U137" s="4">
        <v>9</v>
      </c>
      <c r="V137" s="4">
        <v>17100</v>
      </c>
      <c r="W137" s="4">
        <v>15390</v>
      </c>
      <c r="X137" s="4" t="s">
        <v>1088</v>
      </c>
      <c r="Y137" s="4" t="s">
        <v>893</v>
      </c>
    </row>
    <row r="138" spans="1:25">
      <c r="A138" s="137"/>
      <c r="B138" s="4">
        <v>77893</v>
      </c>
      <c r="C138" s="4" t="s">
        <v>107</v>
      </c>
      <c r="D138" s="4" t="s">
        <v>601</v>
      </c>
      <c r="E138" s="4" t="s">
        <v>1006</v>
      </c>
      <c r="F138" s="5" t="s">
        <v>1089</v>
      </c>
      <c r="G138" s="6" t="str">
        <f>HYPERLINK("https://stat100.ameba.jp/tnk47/ratio20/illustrations/card/ill_77893_tokusenfurutsumoriawasedaishugo03.jpg", "■")</f>
        <v>■</v>
      </c>
      <c r="H138" s="4" t="s">
        <v>1090</v>
      </c>
      <c r="T138" s="4" t="s">
        <v>1068</v>
      </c>
      <c r="U138" s="4">
        <v>9</v>
      </c>
      <c r="V138" s="4">
        <v>43237</v>
      </c>
      <c r="W138" s="4">
        <v>40466</v>
      </c>
      <c r="X138" s="4" t="s">
        <v>1091</v>
      </c>
      <c r="Y138" s="4" t="s">
        <v>897</v>
      </c>
    </row>
  </sheetData>
  <mergeCells count="43">
    <mergeCell ref="A39:A41"/>
    <mergeCell ref="A4:A6"/>
    <mergeCell ref="A7:A9"/>
    <mergeCell ref="A10:A12"/>
    <mergeCell ref="A13:A15"/>
    <mergeCell ref="A16:A18"/>
    <mergeCell ref="A19:A21"/>
    <mergeCell ref="A22:A24"/>
    <mergeCell ref="A27:A29"/>
    <mergeCell ref="A30:A32"/>
    <mergeCell ref="A33:A35"/>
    <mergeCell ref="A36:A38"/>
    <mergeCell ref="A77:A79"/>
    <mergeCell ref="A42:A44"/>
    <mergeCell ref="A45:A47"/>
    <mergeCell ref="A48:A50"/>
    <mergeCell ref="A51:A53"/>
    <mergeCell ref="A54:A56"/>
    <mergeCell ref="A57:A59"/>
    <mergeCell ref="A60:A62"/>
    <mergeCell ref="A65:A67"/>
    <mergeCell ref="A68:A70"/>
    <mergeCell ref="A71:A73"/>
    <mergeCell ref="A74:A76"/>
    <mergeCell ref="A115:A117"/>
    <mergeCell ref="A80:A82"/>
    <mergeCell ref="A83:A85"/>
    <mergeCell ref="A86:A88"/>
    <mergeCell ref="A89:A91"/>
    <mergeCell ref="A92:A94"/>
    <mergeCell ref="A95:A97"/>
    <mergeCell ref="A98:A100"/>
    <mergeCell ref="A103:A105"/>
    <mergeCell ref="A106:A108"/>
    <mergeCell ref="A109:A111"/>
    <mergeCell ref="A112:A114"/>
    <mergeCell ref="A136:A138"/>
    <mergeCell ref="A118:A120"/>
    <mergeCell ref="A121:A123"/>
    <mergeCell ref="A124:A126"/>
    <mergeCell ref="A127:A129"/>
    <mergeCell ref="A130:A132"/>
    <mergeCell ref="A133:A135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329C-8989-4CDA-86CE-2516C9DAAFF8}">
  <dimension ref="A1:Z8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08203125" style="4" customWidth="1"/>
    <col min="2" max="2" width="6.4140625" style="4" customWidth="1"/>
    <col min="3" max="3" width="6.08203125" style="4" customWidth="1"/>
    <col min="4" max="4" width="5.58203125" style="4" customWidth="1"/>
    <col min="5" max="5" width="10.58203125" style="4" customWidth="1"/>
    <col min="6" max="6" width="30.9140625" style="4" customWidth="1"/>
    <col min="7" max="7" width="3.75" style="4" customWidth="1"/>
    <col min="8" max="8" width="25.9140625" style="4" hidden="1" customWidth="1"/>
    <col min="9" max="20" width="4.9140625" style="4" hidden="1" customWidth="1"/>
    <col min="21" max="21" width="20.9140625" style="4" hidden="1" customWidth="1"/>
    <col min="22" max="22" width="4.9140625" style="4" customWidth="1"/>
    <col min="23" max="24" width="7.33203125" style="4" customWidth="1"/>
    <col min="25" max="25" width="15.6640625" style="4" hidden="1" customWidth="1"/>
    <col min="26" max="26" width="70.9140625" style="4" customWidth="1"/>
    <col min="27" max="16384" width="8.9140625" style="4"/>
  </cols>
  <sheetData>
    <row r="1" spans="1:26">
      <c r="A1" s="2" t="s">
        <v>0</v>
      </c>
      <c r="B1" s="2" t="s">
        <v>586</v>
      </c>
      <c r="C1" s="2" t="s">
        <v>587</v>
      </c>
      <c r="D1" s="2" t="s">
        <v>3</v>
      </c>
      <c r="E1" s="2" t="s">
        <v>2</v>
      </c>
      <c r="F1" s="2" t="s">
        <v>4</v>
      </c>
      <c r="G1" s="2" t="s">
        <v>5</v>
      </c>
      <c r="H1" s="2" t="s">
        <v>6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 t="s">
        <v>588</v>
      </c>
      <c r="U1" s="2" t="s">
        <v>543</v>
      </c>
      <c r="V1" s="2" t="s">
        <v>7</v>
      </c>
      <c r="W1" s="2" t="s">
        <v>8</v>
      </c>
      <c r="X1" s="2" t="s">
        <v>9</v>
      </c>
      <c r="Y1" s="2" t="s">
        <v>10</v>
      </c>
      <c r="Z1" s="1" t="s">
        <v>11</v>
      </c>
    </row>
    <row r="3" spans="1:26">
      <c r="A3" s="4" t="s">
        <v>1092</v>
      </c>
    </row>
    <row r="4" spans="1:26">
      <c r="A4" s="137" t="s">
        <v>1093</v>
      </c>
      <c r="B4" s="4" t="s">
        <v>595</v>
      </c>
      <c r="C4" s="4" t="s">
        <v>592</v>
      </c>
      <c r="D4" s="4" t="s">
        <v>27</v>
      </c>
      <c r="E4" s="4" t="s">
        <v>595</v>
      </c>
      <c r="F4" s="4" t="s">
        <v>595</v>
      </c>
      <c r="G4" s="4" t="s">
        <v>522</v>
      </c>
      <c r="H4" s="4" t="s">
        <v>595</v>
      </c>
      <c r="V4" s="4" t="s">
        <v>522</v>
      </c>
      <c r="W4" s="4" t="s">
        <v>522</v>
      </c>
      <c r="X4" s="4" t="s">
        <v>522</v>
      </c>
      <c r="Y4" s="4" t="s">
        <v>595</v>
      </c>
      <c r="Z4" s="4" t="s">
        <v>595</v>
      </c>
    </row>
    <row r="5" spans="1:26">
      <c r="A5" s="137"/>
      <c r="B5" s="4" t="s">
        <v>595</v>
      </c>
      <c r="C5" s="4" t="s">
        <v>592</v>
      </c>
      <c r="D5" s="4" t="s">
        <v>27</v>
      </c>
      <c r="E5" s="4" t="s">
        <v>595</v>
      </c>
      <c r="F5" s="4" t="s">
        <v>595</v>
      </c>
      <c r="G5" s="4" t="s">
        <v>522</v>
      </c>
      <c r="H5" s="4" t="s">
        <v>595</v>
      </c>
      <c r="V5" s="4" t="s">
        <v>522</v>
      </c>
      <c r="W5" s="4" t="s">
        <v>522</v>
      </c>
      <c r="X5" s="4" t="s">
        <v>522</v>
      </c>
      <c r="Y5" s="4" t="s">
        <v>595</v>
      </c>
      <c r="Z5" s="4" t="s">
        <v>595</v>
      </c>
    </row>
    <row r="6" spans="1:26">
      <c r="A6" s="137"/>
      <c r="B6" s="4">
        <v>31193</v>
      </c>
      <c r="C6" s="4" t="s">
        <v>601</v>
      </c>
      <c r="D6" s="4" t="s">
        <v>27</v>
      </c>
      <c r="E6" s="4" t="s">
        <v>681</v>
      </c>
      <c r="F6" s="5" t="s">
        <v>1094</v>
      </c>
      <c r="G6" s="6" t="str">
        <f>HYPERLINK("https://stat100.ameba.jp/tnk47/ratio20/illustrations/card/ill_31193_furutsumoriawase03.jpg", "■")</f>
        <v>■</v>
      </c>
      <c r="H6" s="4" t="s">
        <v>1095</v>
      </c>
      <c r="V6" s="4" t="s">
        <v>522</v>
      </c>
      <c r="W6" s="4" t="s">
        <v>522</v>
      </c>
      <c r="X6" s="4" t="s">
        <v>522</v>
      </c>
      <c r="Y6" s="4" t="s">
        <v>595</v>
      </c>
      <c r="Z6" s="4" t="s">
        <v>595</v>
      </c>
    </row>
    <row r="7" spans="1:26">
      <c r="A7" s="137" t="s">
        <v>1093</v>
      </c>
      <c r="B7" s="4" t="s">
        <v>595</v>
      </c>
      <c r="C7" s="4" t="s">
        <v>592</v>
      </c>
      <c r="D7" s="4" t="s">
        <v>33</v>
      </c>
      <c r="E7" s="4" t="s">
        <v>595</v>
      </c>
      <c r="F7" s="4" t="s">
        <v>595</v>
      </c>
      <c r="G7" s="4" t="s">
        <v>522</v>
      </c>
      <c r="H7" s="4" t="s">
        <v>522</v>
      </c>
      <c r="I7" s="4" t="s">
        <v>522</v>
      </c>
      <c r="J7" s="4" t="s">
        <v>522</v>
      </c>
      <c r="K7" s="4" t="s">
        <v>522</v>
      </c>
      <c r="L7" s="4" t="s">
        <v>522</v>
      </c>
      <c r="M7" s="4" t="s">
        <v>522</v>
      </c>
      <c r="N7" s="4" t="s">
        <v>522</v>
      </c>
      <c r="O7" s="4" t="s">
        <v>522</v>
      </c>
      <c r="P7" s="4" t="s">
        <v>522</v>
      </c>
      <c r="Q7" s="4" t="s">
        <v>522</v>
      </c>
      <c r="R7" s="4" t="s">
        <v>522</v>
      </c>
      <c r="S7" s="4" t="s">
        <v>522</v>
      </c>
      <c r="T7" s="4" t="s">
        <v>522</v>
      </c>
      <c r="U7" s="4" t="s">
        <v>522</v>
      </c>
      <c r="V7" s="4" t="s">
        <v>522</v>
      </c>
      <c r="W7" s="4" t="s">
        <v>522</v>
      </c>
      <c r="X7" s="4" t="s">
        <v>522</v>
      </c>
      <c r="Y7" s="4" t="s">
        <v>595</v>
      </c>
      <c r="Z7" s="4" t="s">
        <v>595</v>
      </c>
    </row>
    <row r="8" spans="1:26">
      <c r="A8" s="137"/>
      <c r="B8" s="4" t="s">
        <v>595</v>
      </c>
      <c r="C8" s="4" t="s">
        <v>592</v>
      </c>
      <c r="D8" s="4" t="s">
        <v>33</v>
      </c>
      <c r="E8" s="4" t="s">
        <v>595</v>
      </c>
      <c r="F8" s="4" t="s">
        <v>595</v>
      </c>
      <c r="G8" s="4" t="s">
        <v>522</v>
      </c>
      <c r="H8" s="4" t="s">
        <v>522</v>
      </c>
      <c r="I8" s="4" t="s">
        <v>522</v>
      </c>
      <c r="J8" s="4" t="s">
        <v>522</v>
      </c>
      <c r="K8" s="4" t="s">
        <v>522</v>
      </c>
      <c r="L8" s="4" t="s">
        <v>522</v>
      </c>
      <c r="M8" s="4" t="s">
        <v>522</v>
      </c>
      <c r="N8" s="4" t="s">
        <v>522</v>
      </c>
      <c r="O8" s="4" t="s">
        <v>522</v>
      </c>
      <c r="P8" s="4" t="s">
        <v>522</v>
      </c>
      <c r="Q8" s="4" t="s">
        <v>522</v>
      </c>
      <c r="R8" s="4" t="s">
        <v>522</v>
      </c>
      <c r="S8" s="4" t="s">
        <v>522</v>
      </c>
      <c r="T8" s="4" t="s">
        <v>522</v>
      </c>
      <c r="U8" s="4" t="s">
        <v>522</v>
      </c>
      <c r="V8" s="4" t="s">
        <v>522</v>
      </c>
      <c r="W8" s="4" t="s">
        <v>522</v>
      </c>
      <c r="X8" s="4" t="s">
        <v>522</v>
      </c>
      <c r="Y8" s="4" t="s">
        <v>595</v>
      </c>
      <c r="Z8" s="4" t="s">
        <v>595</v>
      </c>
    </row>
    <row r="9" spans="1:26">
      <c r="A9" s="137"/>
      <c r="B9" s="4">
        <v>38143</v>
      </c>
      <c r="C9" s="4" t="s">
        <v>601</v>
      </c>
      <c r="D9" s="4" t="s">
        <v>33</v>
      </c>
      <c r="E9" s="4" t="s">
        <v>681</v>
      </c>
      <c r="F9" s="5" t="s">
        <v>1096</v>
      </c>
      <c r="G9" s="6" t="str">
        <f>HYPERLINK("https://stat100.ameba.jp/tnk47/ratio20/illustrations/card/ill_38143_tenkurohosekikorekushon03.jpg", "■")</f>
        <v>■</v>
      </c>
      <c r="H9" s="4" t="s">
        <v>1097</v>
      </c>
      <c r="V9" s="4" t="s">
        <v>522</v>
      </c>
      <c r="W9" s="4" t="s">
        <v>522</v>
      </c>
      <c r="X9" s="4" t="s">
        <v>522</v>
      </c>
      <c r="Y9" s="4" t="s">
        <v>1098</v>
      </c>
      <c r="Z9" s="4" t="s">
        <v>1099</v>
      </c>
    </row>
    <row r="10" spans="1:26">
      <c r="A10" s="137" t="s">
        <v>1093</v>
      </c>
      <c r="B10" s="4">
        <v>42101</v>
      </c>
      <c r="C10" s="4" t="s">
        <v>592</v>
      </c>
      <c r="D10" s="4" t="s">
        <v>248</v>
      </c>
      <c r="E10" s="4" t="s">
        <v>608</v>
      </c>
      <c r="F10" s="5" t="s">
        <v>1100</v>
      </c>
      <c r="G10" s="6" t="str">
        <f>HYPERLINK("https://stat100.ameba.jp/tnk47/ratio20/illustrations/card/ill_42101_higashinosofutochanzu01.jpg", "■")</f>
        <v>■</v>
      </c>
      <c r="H10" s="4" t="s">
        <v>1101</v>
      </c>
      <c r="U10" s="4" t="s">
        <v>1102</v>
      </c>
      <c r="V10" s="4" t="s">
        <v>522</v>
      </c>
      <c r="W10" s="4" t="s">
        <v>522</v>
      </c>
      <c r="X10" s="4" t="s">
        <v>522</v>
      </c>
      <c r="Y10" s="4" t="s">
        <v>1103</v>
      </c>
      <c r="Z10" s="4" t="s">
        <v>1104</v>
      </c>
    </row>
    <row r="11" spans="1:26">
      <c r="A11" s="137"/>
      <c r="B11" s="4">
        <v>42111</v>
      </c>
      <c r="C11" s="4" t="s">
        <v>592</v>
      </c>
      <c r="D11" s="4" t="s">
        <v>248</v>
      </c>
      <c r="E11" s="4" t="s">
        <v>613</v>
      </c>
      <c r="F11" s="5" t="s">
        <v>1105</v>
      </c>
      <c r="G11" s="6" t="str">
        <f>HYPERLINK("https://stat100.ameba.jp/tnk47/ratio20/illustrations/card/ill_42111_nishinosofutochanzu01.jpg", "■")</f>
        <v>■</v>
      </c>
      <c r="H11" s="4" t="s">
        <v>1106</v>
      </c>
      <c r="V11" s="4" t="s">
        <v>522</v>
      </c>
      <c r="W11" s="4" t="s">
        <v>522</v>
      </c>
      <c r="X11" s="4" t="s">
        <v>522</v>
      </c>
      <c r="Y11" s="4" t="s">
        <v>595</v>
      </c>
      <c r="Z11" s="4" t="s">
        <v>595</v>
      </c>
    </row>
    <row r="12" spans="1:26">
      <c r="A12" s="137"/>
      <c r="B12" s="4">
        <v>42123</v>
      </c>
      <c r="C12" s="4" t="s">
        <v>601</v>
      </c>
      <c r="D12" s="4" t="s">
        <v>248</v>
      </c>
      <c r="E12" s="4" t="s">
        <v>681</v>
      </c>
      <c r="F12" s="5" t="s">
        <v>1107</v>
      </c>
      <c r="G12" s="6" t="str">
        <f>HYPERLINK("https://stat100.ameba.jp/tnk47/ratio20/illustrations/card/ill_42123_sofutokurimuchanzu03.jpg", "■")</f>
        <v>■</v>
      </c>
      <c r="H12" s="4" t="s">
        <v>1108</v>
      </c>
      <c r="V12" s="4" t="s">
        <v>522</v>
      </c>
      <c r="W12" s="4" t="s">
        <v>522</v>
      </c>
      <c r="X12" s="4" t="s">
        <v>522</v>
      </c>
      <c r="Y12" s="4" t="s">
        <v>1109</v>
      </c>
      <c r="Z12" s="4" t="s">
        <v>1110</v>
      </c>
    </row>
    <row r="13" spans="1:26">
      <c r="A13" s="137" t="s">
        <v>1093</v>
      </c>
      <c r="B13" s="4">
        <v>46671</v>
      </c>
      <c r="C13" s="4" t="s">
        <v>592</v>
      </c>
      <c r="D13" s="4" t="s">
        <v>381</v>
      </c>
      <c r="E13" s="4" t="s">
        <v>660</v>
      </c>
      <c r="F13" s="5" t="s">
        <v>1111</v>
      </c>
      <c r="G13" s="6" t="str">
        <f>HYPERLINK("https://stat100.ameba.jp/tnk47/ratio20/illustrations/card/ill_46671_fushiginokuniyume01.jpg", "■")</f>
        <v>■</v>
      </c>
      <c r="H13" s="4" t="s">
        <v>1112</v>
      </c>
      <c r="V13" s="4" t="s">
        <v>522</v>
      </c>
      <c r="W13" s="4" t="s">
        <v>522</v>
      </c>
      <c r="X13" s="4" t="s">
        <v>522</v>
      </c>
      <c r="Y13" s="4" t="s">
        <v>595</v>
      </c>
      <c r="Z13" s="4" t="s">
        <v>595</v>
      </c>
    </row>
    <row r="14" spans="1:26">
      <c r="A14" s="137"/>
      <c r="B14" s="4">
        <v>46681</v>
      </c>
      <c r="C14" s="4" t="s">
        <v>592</v>
      </c>
      <c r="D14" s="4" t="s">
        <v>381</v>
      </c>
      <c r="E14" s="4" t="s">
        <v>660</v>
      </c>
      <c r="F14" s="5" t="s">
        <v>1113</v>
      </c>
      <c r="G14" s="6" t="str">
        <f>HYPERLINK("https://stat100.ameba.jp/tnk47/ratio20/illustrations/card/ill_46681_fushiginokuniasobi01.jpg", "■")</f>
        <v>■</v>
      </c>
      <c r="H14" s="4" t="s">
        <v>1114</v>
      </c>
      <c r="U14" s="4" t="s">
        <v>1115</v>
      </c>
      <c r="V14" s="4" t="s">
        <v>522</v>
      </c>
      <c r="W14" s="4" t="s">
        <v>522</v>
      </c>
      <c r="X14" s="4" t="s">
        <v>522</v>
      </c>
      <c r="Y14" s="4" t="s">
        <v>1116</v>
      </c>
      <c r="Z14" s="4" t="s">
        <v>1117</v>
      </c>
    </row>
    <row r="15" spans="1:26">
      <c r="A15" s="137"/>
      <c r="B15" s="4" t="s">
        <v>595</v>
      </c>
      <c r="C15" s="4" t="s">
        <v>601</v>
      </c>
      <c r="D15" s="4" t="s">
        <v>381</v>
      </c>
      <c r="E15" s="4" t="s">
        <v>681</v>
      </c>
      <c r="F15" s="4" t="s">
        <v>595</v>
      </c>
      <c r="G15" s="4" t="s">
        <v>522</v>
      </c>
      <c r="H15" s="4" t="s">
        <v>522</v>
      </c>
      <c r="I15" s="4" t="s">
        <v>522</v>
      </c>
      <c r="J15" s="4" t="s">
        <v>522</v>
      </c>
      <c r="K15" s="4" t="s">
        <v>522</v>
      </c>
      <c r="L15" s="4" t="s">
        <v>522</v>
      </c>
      <c r="M15" s="4" t="s">
        <v>522</v>
      </c>
      <c r="N15" s="4" t="s">
        <v>522</v>
      </c>
      <c r="O15" s="4" t="s">
        <v>522</v>
      </c>
      <c r="P15" s="4" t="s">
        <v>522</v>
      </c>
      <c r="Q15" s="4" t="s">
        <v>522</v>
      </c>
      <c r="R15" s="4" t="s">
        <v>522</v>
      </c>
      <c r="S15" s="4" t="s">
        <v>522</v>
      </c>
      <c r="T15" s="4" t="s">
        <v>522</v>
      </c>
      <c r="U15" s="4" t="s">
        <v>522</v>
      </c>
      <c r="V15" s="4" t="s">
        <v>522</v>
      </c>
      <c r="W15" s="4" t="s">
        <v>522</v>
      </c>
      <c r="X15" s="4" t="s">
        <v>522</v>
      </c>
      <c r="Y15" s="4" t="s">
        <v>595</v>
      </c>
      <c r="Z15" s="4" t="s">
        <v>595</v>
      </c>
    </row>
    <row r="16" spans="1:26">
      <c r="A16" s="137" t="s">
        <v>1093</v>
      </c>
      <c r="B16" s="4" t="s">
        <v>595</v>
      </c>
      <c r="C16" s="4" t="s">
        <v>592</v>
      </c>
      <c r="D16" s="4" t="s">
        <v>27</v>
      </c>
      <c r="E16" s="4" t="s">
        <v>595</v>
      </c>
      <c r="F16" s="4" t="s">
        <v>595</v>
      </c>
      <c r="G16" s="4" t="s">
        <v>522</v>
      </c>
      <c r="H16" s="4" t="s">
        <v>522</v>
      </c>
      <c r="I16" s="4" t="s">
        <v>522</v>
      </c>
      <c r="J16" s="4" t="s">
        <v>522</v>
      </c>
      <c r="K16" s="4" t="s">
        <v>522</v>
      </c>
      <c r="L16" s="4" t="s">
        <v>522</v>
      </c>
      <c r="M16" s="4" t="s">
        <v>522</v>
      </c>
      <c r="N16" s="4" t="s">
        <v>522</v>
      </c>
      <c r="O16" s="4" t="s">
        <v>522</v>
      </c>
      <c r="P16" s="4" t="s">
        <v>522</v>
      </c>
      <c r="Q16" s="4" t="s">
        <v>522</v>
      </c>
      <c r="R16" s="4" t="s">
        <v>522</v>
      </c>
      <c r="S16" s="4" t="s">
        <v>522</v>
      </c>
      <c r="T16" s="4" t="s">
        <v>522</v>
      </c>
      <c r="U16" s="4" t="s">
        <v>522</v>
      </c>
      <c r="V16" s="4" t="s">
        <v>522</v>
      </c>
      <c r="W16" s="4" t="s">
        <v>522</v>
      </c>
      <c r="X16" s="4" t="s">
        <v>522</v>
      </c>
      <c r="Y16" s="4" t="s">
        <v>595</v>
      </c>
      <c r="Z16" s="4" t="s">
        <v>595</v>
      </c>
    </row>
    <row r="17" spans="1:26">
      <c r="A17" s="137"/>
      <c r="B17" s="4" t="s">
        <v>595</v>
      </c>
      <c r="C17" s="4" t="s">
        <v>592</v>
      </c>
      <c r="D17" s="4" t="s">
        <v>27</v>
      </c>
      <c r="E17" s="4" t="s">
        <v>595</v>
      </c>
      <c r="F17" s="4" t="s">
        <v>595</v>
      </c>
      <c r="G17" s="4" t="s">
        <v>522</v>
      </c>
      <c r="H17" s="4" t="s">
        <v>522</v>
      </c>
      <c r="I17" s="4" t="s">
        <v>522</v>
      </c>
      <c r="J17" s="4" t="s">
        <v>522</v>
      </c>
      <c r="K17" s="4" t="s">
        <v>522</v>
      </c>
      <c r="L17" s="4" t="s">
        <v>522</v>
      </c>
      <c r="M17" s="4" t="s">
        <v>522</v>
      </c>
      <c r="N17" s="4" t="s">
        <v>522</v>
      </c>
      <c r="O17" s="4" t="s">
        <v>522</v>
      </c>
      <c r="P17" s="4" t="s">
        <v>522</v>
      </c>
      <c r="Q17" s="4" t="s">
        <v>522</v>
      </c>
      <c r="R17" s="4" t="s">
        <v>522</v>
      </c>
      <c r="S17" s="4" t="s">
        <v>522</v>
      </c>
      <c r="T17" s="4" t="s">
        <v>522</v>
      </c>
      <c r="U17" s="4" t="s">
        <v>522</v>
      </c>
      <c r="V17" s="4" t="s">
        <v>522</v>
      </c>
      <c r="W17" s="4" t="s">
        <v>522</v>
      </c>
      <c r="X17" s="4" t="s">
        <v>522</v>
      </c>
      <c r="Y17" s="4" t="s">
        <v>595</v>
      </c>
      <c r="Z17" s="4" t="s">
        <v>595</v>
      </c>
    </row>
    <row r="18" spans="1:26">
      <c r="A18" s="137"/>
      <c r="B18" s="4">
        <v>48033</v>
      </c>
      <c r="C18" s="4" t="s">
        <v>601</v>
      </c>
      <c r="D18" s="4" t="s">
        <v>27</v>
      </c>
      <c r="E18" s="4" t="s">
        <v>681</v>
      </c>
      <c r="F18" s="5" t="s">
        <v>1118</v>
      </c>
      <c r="G18" s="6" t="str">
        <f>HYPERLINK("https://stat100.ameba.jp/tnk47/ratio20/illustrations/card/ill_48033_yoridorisuitsuchanzu03.jpg", "■")</f>
        <v>■</v>
      </c>
      <c r="H18" s="4" t="s">
        <v>1119</v>
      </c>
      <c r="V18" s="4" t="s">
        <v>522</v>
      </c>
      <c r="W18" s="4" t="s">
        <v>522</v>
      </c>
      <c r="X18" s="4" t="s">
        <v>522</v>
      </c>
      <c r="Y18" s="4" t="s">
        <v>595</v>
      </c>
      <c r="Z18" s="4" t="s">
        <v>595</v>
      </c>
    </row>
    <row r="19" spans="1:26">
      <c r="A19" s="137" t="s">
        <v>1093</v>
      </c>
      <c r="B19" s="4" t="s">
        <v>595</v>
      </c>
      <c r="C19" s="4" t="s">
        <v>592</v>
      </c>
      <c r="D19" s="4" t="s">
        <v>552</v>
      </c>
      <c r="E19" s="4" t="s">
        <v>595</v>
      </c>
      <c r="F19" s="4" t="s">
        <v>595</v>
      </c>
      <c r="G19" s="4" t="s">
        <v>522</v>
      </c>
      <c r="H19" s="4" t="s">
        <v>522</v>
      </c>
      <c r="I19" s="4" t="s">
        <v>522</v>
      </c>
      <c r="J19" s="4" t="s">
        <v>522</v>
      </c>
      <c r="K19" s="4" t="s">
        <v>522</v>
      </c>
      <c r="L19" s="4" t="s">
        <v>522</v>
      </c>
      <c r="M19" s="4" t="s">
        <v>522</v>
      </c>
      <c r="N19" s="4" t="s">
        <v>522</v>
      </c>
      <c r="O19" s="4" t="s">
        <v>522</v>
      </c>
      <c r="P19" s="4" t="s">
        <v>522</v>
      </c>
      <c r="Q19" s="4" t="s">
        <v>522</v>
      </c>
      <c r="R19" s="4" t="s">
        <v>522</v>
      </c>
      <c r="S19" s="4" t="s">
        <v>522</v>
      </c>
      <c r="T19" s="4" t="s">
        <v>522</v>
      </c>
      <c r="U19" s="4" t="s">
        <v>522</v>
      </c>
      <c r="V19" s="4" t="s">
        <v>522</v>
      </c>
      <c r="W19" s="4" t="s">
        <v>522</v>
      </c>
      <c r="X19" s="4" t="s">
        <v>522</v>
      </c>
      <c r="Y19" s="4" t="s">
        <v>595</v>
      </c>
      <c r="Z19" s="4" t="s">
        <v>595</v>
      </c>
    </row>
    <row r="20" spans="1:26">
      <c r="A20" s="137"/>
      <c r="B20" s="4" t="s">
        <v>595</v>
      </c>
      <c r="C20" s="4" t="s">
        <v>592</v>
      </c>
      <c r="D20" s="4" t="s">
        <v>552</v>
      </c>
      <c r="E20" s="4" t="s">
        <v>595</v>
      </c>
      <c r="F20" s="4" t="s">
        <v>595</v>
      </c>
      <c r="G20" s="4" t="s">
        <v>522</v>
      </c>
      <c r="H20" s="4" t="s">
        <v>522</v>
      </c>
      <c r="I20" s="4" t="s">
        <v>522</v>
      </c>
      <c r="J20" s="4" t="s">
        <v>522</v>
      </c>
      <c r="K20" s="4" t="s">
        <v>522</v>
      </c>
      <c r="L20" s="4" t="s">
        <v>522</v>
      </c>
      <c r="M20" s="4" t="s">
        <v>522</v>
      </c>
      <c r="N20" s="4" t="s">
        <v>522</v>
      </c>
      <c r="O20" s="4" t="s">
        <v>522</v>
      </c>
      <c r="P20" s="4" t="s">
        <v>522</v>
      </c>
      <c r="Q20" s="4" t="s">
        <v>522</v>
      </c>
      <c r="R20" s="4" t="s">
        <v>522</v>
      </c>
      <c r="S20" s="4" t="s">
        <v>522</v>
      </c>
      <c r="T20" s="4" t="s">
        <v>522</v>
      </c>
      <c r="U20" s="4" t="s">
        <v>522</v>
      </c>
      <c r="V20" s="4" t="s">
        <v>522</v>
      </c>
      <c r="W20" s="4" t="s">
        <v>522</v>
      </c>
      <c r="X20" s="4" t="s">
        <v>522</v>
      </c>
      <c r="Y20" s="4" t="s">
        <v>595</v>
      </c>
      <c r="Z20" s="4" t="s">
        <v>595</v>
      </c>
    </row>
    <row r="21" spans="1:26">
      <c r="A21" s="137"/>
      <c r="B21" s="4">
        <v>48063</v>
      </c>
      <c r="C21" s="4" t="s">
        <v>601</v>
      </c>
      <c r="D21" s="4" t="s">
        <v>552</v>
      </c>
      <c r="E21" s="4" t="s">
        <v>681</v>
      </c>
      <c r="F21" s="5" t="s">
        <v>1120</v>
      </c>
      <c r="G21" s="6" t="str">
        <f>HYPERLINK("https://stat100.ameba.jp/tnk47/ratio20/illustrations/card/ill_48063_sekainoyosei03.jpg", "■")</f>
        <v>■</v>
      </c>
      <c r="H21" s="4" t="s">
        <v>1121</v>
      </c>
      <c r="V21" s="4" t="s">
        <v>522</v>
      </c>
      <c r="W21" s="4" t="s">
        <v>522</v>
      </c>
      <c r="X21" s="4" t="s">
        <v>522</v>
      </c>
      <c r="Y21" s="4" t="s">
        <v>1122</v>
      </c>
      <c r="Z21" s="4" t="s">
        <v>1123</v>
      </c>
    </row>
    <row r="22" spans="1:26">
      <c r="A22" s="137" t="s">
        <v>1093</v>
      </c>
      <c r="B22" s="4" t="s">
        <v>595</v>
      </c>
      <c r="C22" s="4" t="s">
        <v>592</v>
      </c>
      <c r="D22" s="4" t="s">
        <v>15</v>
      </c>
      <c r="E22" s="4" t="s">
        <v>595</v>
      </c>
      <c r="F22" s="4" t="s">
        <v>595</v>
      </c>
      <c r="G22" s="4" t="s">
        <v>522</v>
      </c>
      <c r="H22" s="4" t="s">
        <v>522</v>
      </c>
      <c r="I22" s="4" t="s">
        <v>522</v>
      </c>
      <c r="J22" s="4" t="s">
        <v>522</v>
      </c>
      <c r="K22" s="4" t="s">
        <v>522</v>
      </c>
      <c r="L22" s="4" t="s">
        <v>522</v>
      </c>
      <c r="M22" s="4" t="s">
        <v>522</v>
      </c>
      <c r="N22" s="4" t="s">
        <v>522</v>
      </c>
      <c r="O22" s="4" t="s">
        <v>522</v>
      </c>
      <c r="P22" s="4" t="s">
        <v>522</v>
      </c>
      <c r="Q22" s="4" t="s">
        <v>522</v>
      </c>
      <c r="R22" s="4" t="s">
        <v>522</v>
      </c>
      <c r="S22" s="4" t="s">
        <v>522</v>
      </c>
      <c r="T22" s="4" t="s">
        <v>522</v>
      </c>
      <c r="U22" s="4" t="s">
        <v>522</v>
      </c>
      <c r="V22" s="4" t="s">
        <v>522</v>
      </c>
      <c r="W22" s="4" t="s">
        <v>522</v>
      </c>
      <c r="X22" s="4" t="s">
        <v>522</v>
      </c>
      <c r="Y22" s="4" t="s">
        <v>595</v>
      </c>
      <c r="Z22" s="4" t="s">
        <v>595</v>
      </c>
    </row>
    <row r="23" spans="1:26">
      <c r="A23" s="137"/>
      <c r="B23" s="4" t="s">
        <v>595</v>
      </c>
      <c r="C23" s="4" t="s">
        <v>592</v>
      </c>
      <c r="D23" s="4" t="s">
        <v>15</v>
      </c>
      <c r="E23" s="4" t="s">
        <v>595</v>
      </c>
      <c r="F23" s="4" t="s">
        <v>595</v>
      </c>
      <c r="G23" s="4" t="s">
        <v>522</v>
      </c>
      <c r="H23" s="4" t="s">
        <v>522</v>
      </c>
      <c r="I23" s="4" t="s">
        <v>522</v>
      </c>
      <c r="J23" s="4" t="s">
        <v>522</v>
      </c>
      <c r="K23" s="4" t="s">
        <v>522</v>
      </c>
      <c r="L23" s="4" t="s">
        <v>522</v>
      </c>
      <c r="M23" s="4" t="s">
        <v>522</v>
      </c>
      <c r="N23" s="4" t="s">
        <v>522</v>
      </c>
      <c r="O23" s="4" t="s">
        <v>522</v>
      </c>
      <c r="P23" s="4" t="s">
        <v>522</v>
      </c>
      <c r="Q23" s="4" t="s">
        <v>522</v>
      </c>
      <c r="R23" s="4" t="s">
        <v>522</v>
      </c>
      <c r="S23" s="4" t="s">
        <v>522</v>
      </c>
      <c r="T23" s="4" t="s">
        <v>522</v>
      </c>
      <c r="U23" s="4" t="s">
        <v>522</v>
      </c>
      <c r="V23" s="4" t="s">
        <v>522</v>
      </c>
      <c r="W23" s="4" t="s">
        <v>522</v>
      </c>
      <c r="X23" s="4" t="s">
        <v>522</v>
      </c>
      <c r="Y23" s="4" t="s">
        <v>595</v>
      </c>
      <c r="Z23" s="4" t="s">
        <v>595</v>
      </c>
    </row>
    <row r="24" spans="1:26">
      <c r="A24" s="137"/>
      <c r="B24" s="4">
        <v>50043</v>
      </c>
      <c r="C24" s="4" t="s">
        <v>601</v>
      </c>
      <c r="D24" s="4" t="s">
        <v>15</v>
      </c>
      <c r="E24" s="4" t="s">
        <v>681</v>
      </c>
      <c r="F24" s="5" t="s">
        <v>1124</v>
      </c>
      <c r="G24" s="6" t="str">
        <f>HYPERLINK("https://stat100.ameba.jp/tnk47/ratio20/illustrations/card/ill_50043_koisurupurinsesu03.jpg", "■")</f>
        <v>■</v>
      </c>
      <c r="H24" s="4" t="s">
        <v>1125</v>
      </c>
      <c r="V24" s="4" t="s">
        <v>522</v>
      </c>
      <c r="W24" s="4" t="s">
        <v>522</v>
      </c>
      <c r="X24" s="4" t="s">
        <v>522</v>
      </c>
      <c r="Y24" s="4" t="s">
        <v>595</v>
      </c>
      <c r="Z24" s="4" t="s">
        <v>595</v>
      </c>
    </row>
    <row r="26" spans="1:26">
      <c r="A26" s="4" t="s">
        <v>1126</v>
      </c>
    </row>
    <row r="27" spans="1:26">
      <c r="A27" s="4" t="s">
        <v>672</v>
      </c>
    </row>
    <row r="28" spans="1:26">
      <c r="A28" s="137" t="s">
        <v>673</v>
      </c>
      <c r="B28" s="4">
        <v>48491</v>
      </c>
      <c r="C28" s="4" t="s">
        <v>592</v>
      </c>
      <c r="D28" s="4" t="s">
        <v>235</v>
      </c>
      <c r="E28" s="4" t="s">
        <v>608</v>
      </c>
      <c r="F28" s="5" t="s">
        <v>1127</v>
      </c>
      <c r="G28" s="6" t="str">
        <f>HYPERLINK("https://stat100.ameba.jp/tnk47/ratio20/illustrations/card/ill_48491_kengouretudenhigashi01.jpg", "■")</f>
        <v>■</v>
      </c>
      <c r="H28" s="4" t="s">
        <v>1128</v>
      </c>
      <c r="T28" s="4">
        <v>0</v>
      </c>
      <c r="V28" s="4" t="s">
        <v>522</v>
      </c>
      <c r="W28" s="4" t="s">
        <v>522</v>
      </c>
      <c r="X28" s="4" t="s">
        <v>522</v>
      </c>
      <c r="Y28" s="4" t="s">
        <v>1129</v>
      </c>
      <c r="Z28" s="4" t="s">
        <v>1130</v>
      </c>
    </row>
    <row r="29" spans="1:26">
      <c r="A29" s="137"/>
      <c r="B29" s="4">
        <v>48481</v>
      </c>
      <c r="C29" s="4" t="s">
        <v>592</v>
      </c>
      <c r="D29" s="4" t="s">
        <v>235</v>
      </c>
      <c r="E29" s="4" t="s">
        <v>613</v>
      </c>
      <c r="F29" s="5" t="s">
        <v>1131</v>
      </c>
      <c r="G29" s="6" t="str">
        <f>HYPERLINK("https://stat100.ameba.jp/tnk47/ratio20/illustrations/card/ill_48481_kengouretudennishi01.jpg", "■")</f>
        <v>■</v>
      </c>
      <c r="H29" s="4" t="s">
        <v>1132</v>
      </c>
      <c r="T29" s="4">
        <v>0</v>
      </c>
      <c r="U29" s="4" t="s">
        <v>1133</v>
      </c>
      <c r="V29" s="4" t="s">
        <v>522</v>
      </c>
      <c r="W29" s="4" t="s">
        <v>522</v>
      </c>
      <c r="X29" s="4" t="s">
        <v>522</v>
      </c>
      <c r="Y29" s="4" t="s">
        <v>1134</v>
      </c>
      <c r="Z29" s="4" t="s">
        <v>1130</v>
      </c>
    </row>
    <row r="30" spans="1:26" ht="23.25" customHeight="1">
      <c r="A30" s="137"/>
      <c r="B30" s="4">
        <v>48503</v>
      </c>
      <c r="C30" s="4" t="s">
        <v>601</v>
      </c>
      <c r="D30" s="4" t="s">
        <v>235</v>
      </c>
      <c r="E30" s="4" t="s">
        <v>681</v>
      </c>
      <c r="F30" s="5" t="s">
        <v>1135</v>
      </c>
      <c r="G30" s="6" t="str">
        <f>HYPERLINK("https://stat100.ameba.jp/tnk47/ratio20/illustrations/card/ill_48503_nihonkengouretuden03.jpg", "■")</f>
        <v>■</v>
      </c>
      <c r="H30" s="4" t="s">
        <v>1136</v>
      </c>
      <c r="U30" s="4" t="s">
        <v>1137</v>
      </c>
      <c r="V30" s="4" t="s">
        <v>522</v>
      </c>
      <c r="W30" s="4" t="s">
        <v>522</v>
      </c>
      <c r="X30" s="4" t="s">
        <v>522</v>
      </c>
      <c r="Y30" s="4" t="s">
        <v>1138</v>
      </c>
      <c r="Z30" s="4" t="s">
        <v>1139</v>
      </c>
    </row>
    <row r="31" spans="1:26">
      <c r="A31" s="137" t="s">
        <v>687</v>
      </c>
      <c r="B31" s="4">
        <v>49511</v>
      </c>
      <c r="C31" s="4" t="s">
        <v>592</v>
      </c>
      <c r="D31" s="4" t="s">
        <v>248</v>
      </c>
      <c r="E31" s="4" t="s">
        <v>660</v>
      </c>
      <c r="F31" s="5" t="s">
        <v>1140</v>
      </c>
      <c r="G31" s="6" t="str">
        <f>HYPERLINK("https://stat100.ameba.jp/tnk47/ratio20/illustrations/card/ill_49511_burakkubarentain01.jpg", "■")</f>
        <v>■</v>
      </c>
      <c r="H31" s="4" t="s">
        <v>1141</v>
      </c>
      <c r="T31" s="4">
        <v>0</v>
      </c>
      <c r="V31" s="4" t="s">
        <v>522</v>
      </c>
      <c r="W31" s="4" t="s">
        <v>522</v>
      </c>
      <c r="X31" s="4" t="s">
        <v>522</v>
      </c>
      <c r="Y31" s="4" t="s">
        <v>1142</v>
      </c>
      <c r="Z31" s="4" t="s">
        <v>1143</v>
      </c>
    </row>
    <row r="32" spans="1:26">
      <c r="A32" s="137"/>
      <c r="B32" s="4">
        <v>49521</v>
      </c>
      <c r="C32" s="4" t="s">
        <v>592</v>
      </c>
      <c r="D32" s="4" t="s">
        <v>248</v>
      </c>
      <c r="E32" s="4" t="s">
        <v>660</v>
      </c>
      <c r="F32" s="5" t="s">
        <v>1144</v>
      </c>
      <c r="G32" s="6" t="str">
        <f>HYPERLINK("https://stat100.ameba.jp/tnk47/ratio20/illustrations/card/ill_49521_howaitobarentain01.jpg", "■")</f>
        <v>■</v>
      </c>
      <c r="H32" s="4" t="s">
        <v>1145</v>
      </c>
      <c r="T32" s="4">
        <v>0</v>
      </c>
      <c r="V32" s="4" t="s">
        <v>522</v>
      </c>
      <c r="W32" s="4" t="s">
        <v>522</v>
      </c>
      <c r="X32" s="4" t="s">
        <v>522</v>
      </c>
      <c r="Y32" s="4" t="s">
        <v>1146</v>
      </c>
      <c r="Z32" s="4" t="s">
        <v>1143</v>
      </c>
    </row>
    <row r="33" spans="1:26" ht="23.25" customHeight="1">
      <c r="A33" s="137"/>
      <c r="B33" s="4">
        <v>49533</v>
      </c>
      <c r="C33" s="4" t="s">
        <v>601</v>
      </c>
      <c r="D33" s="4" t="s">
        <v>248</v>
      </c>
      <c r="E33" s="4" t="s">
        <v>681</v>
      </c>
      <c r="F33" s="5" t="s">
        <v>1147</v>
      </c>
      <c r="G33" s="6" t="str">
        <f>HYPERLINK("https://stat100.ameba.jp/tnk47/ratio20/illustrations/card/ill_49533_nisenjyuurokubarentainchanzu03.jpg", "■")</f>
        <v>■</v>
      </c>
      <c r="H33" s="4" t="s">
        <v>1148</v>
      </c>
      <c r="U33" s="4" t="s">
        <v>1149</v>
      </c>
      <c r="V33" s="4" t="s">
        <v>522</v>
      </c>
      <c r="W33" s="4" t="s">
        <v>522</v>
      </c>
      <c r="X33" s="4" t="s">
        <v>522</v>
      </c>
      <c r="Y33" s="4" t="s">
        <v>1150</v>
      </c>
      <c r="Z33" s="4" t="s">
        <v>1151</v>
      </c>
    </row>
    <row r="34" spans="1:26">
      <c r="A34" s="137" t="s">
        <v>700</v>
      </c>
      <c r="B34" s="4">
        <v>50571</v>
      </c>
      <c r="C34" s="4" t="s">
        <v>592</v>
      </c>
      <c r="D34" s="4" t="s">
        <v>302</v>
      </c>
      <c r="E34" s="4" t="s">
        <v>608</v>
      </c>
      <c r="F34" s="5" t="s">
        <v>1152</v>
      </c>
      <c r="G34" s="6" t="str">
        <f>HYPERLINK("https://stat100.ameba.jp/tnk47/ratio20/illustrations/card/ill_50571_hyakkiyakokai01.jpg", "■")</f>
        <v>■</v>
      </c>
      <c r="H34" s="4" t="s">
        <v>1153</v>
      </c>
      <c r="T34" s="4">
        <v>0</v>
      </c>
      <c r="V34" s="4" t="s">
        <v>522</v>
      </c>
      <c r="W34" s="4" t="s">
        <v>522</v>
      </c>
      <c r="X34" s="4" t="s">
        <v>522</v>
      </c>
      <c r="Y34" s="4" t="s">
        <v>1154</v>
      </c>
      <c r="Z34" s="4" t="s">
        <v>1104</v>
      </c>
    </row>
    <row r="35" spans="1:26">
      <c r="A35" s="137"/>
      <c r="B35" s="4">
        <v>50561</v>
      </c>
      <c r="C35" s="4" t="s">
        <v>592</v>
      </c>
      <c r="D35" s="4" t="s">
        <v>302</v>
      </c>
      <c r="E35" s="4" t="s">
        <v>613</v>
      </c>
      <c r="F35" s="5" t="s">
        <v>1155</v>
      </c>
      <c r="G35" s="6" t="str">
        <f>HYPERLINK("https://stat100.ameba.jp/tnk47/ratio20/illustrations/card/ill_50561_hyakkiyakoosore01.jpg", "■")</f>
        <v>■</v>
      </c>
      <c r="H35" s="4" t="s">
        <v>1156</v>
      </c>
      <c r="T35" s="4">
        <v>0</v>
      </c>
      <c r="U35" s="4" t="s">
        <v>1157</v>
      </c>
      <c r="V35" s="4" t="s">
        <v>522</v>
      </c>
      <c r="W35" s="4" t="s">
        <v>522</v>
      </c>
      <c r="X35" s="4" t="s">
        <v>522</v>
      </c>
      <c r="Y35" s="4" t="s">
        <v>1158</v>
      </c>
      <c r="Z35" s="4" t="s">
        <v>1159</v>
      </c>
    </row>
    <row r="36" spans="1:26" ht="23.25" customHeight="1">
      <c r="A36" s="137"/>
      <c r="B36" s="4">
        <v>50583</v>
      </c>
      <c r="C36" s="4" t="s">
        <v>601</v>
      </c>
      <c r="D36" s="4" t="s">
        <v>302</v>
      </c>
      <c r="E36" s="4" t="s">
        <v>681</v>
      </c>
      <c r="F36" s="5" t="s">
        <v>1160</v>
      </c>
      <c r="G36" s="6" t="str">
        <f>HYPERLINK("https://stat100.ameba.jp/tnk47/ratio20/illustrations/card/ill_50583_gazuhyakkiyakoemaki03.jpg", "■")</f>
        <v>■</v>
      </c>
      <c r="H36" s="4" t="s">
        <v>1161</v>
      </c>
      <c r="U36" s="4" t="s">
        <v>1162</v>
      </c>
      <c r="V36" s="4" t="s">
        <v>522</v>
      </c>
      <c r="W36" s="4" t="s">
        <v>522</v>
      </c>
      <c r="X36" s="4" t="s">
        <v>522</v>
      </c>
      <c r="Y36" s="4" t="s">
        <v>1163</v>
      </c>
      <c r="Z36" s="4" t="s">
        <v>1164</v>
      </c>
    </row>
    <row r="37" spans="1:26">
      <c r="A37" s="137" t="s">
        <v>713</v>
      </c>
      <c r="B37" s="4">
        <v>51551</v>
      </c>
      <c r="C37" s="4" t="s">
        <v>592</v>
      </c>
      <c r="D37" s="4" t="s">
        <v>468</v>
      </c>
      <c r="E37" s="4" t="s">
        <v>608</v>
      </c>
      <c r="F37" s="5" t="s">
        <v>1165</v>
      </c>
      <c r="G37" s="6" t="str">
        <f>HYPERLINK("https://stat100.ameba.jp/tnk47/ratio20/illustrations/card/ill_51551_iganoshinobihomura01.jpg", "■")</f>
        <v>■</v>
      </c>
      <c r="H37" s="4" t="s">
        <v>1166</v>
      </c>
      <c r="T37" s="4">
        <v>0</v>
      </c>
      <c r="V37" s="4" t="s">
        <v>522</v>
      </c>
      <c r="W37" s="4" t="s">
        <v>522</v>
      </c>
      <c r="X37" s="4" t="s">
        <v>522</v>
      </c>
      <c r="Y37" s="4" t="s">
        <v>1167</v>
      </c>
      <c r="Z37" s="4" t="s">
        <v>1168</v>
      </c>
    </row>
    <row r="38" spans="1:26">
      <c r="A38" s="137"/>
      <c r="B38" s="4">
        <v>51561</v>
      </c>
      <c r="C38" s="4" t="s">
        <v>592</v>
      </c>
      <c r="D38" s="4" t="s">
        <v>468</v>
      </c>
      <c r="E38" s="4" t="s">
        <v>613</v>
      </c>
      <c r="F38" s="5" t="s">
        <v>1169</v>
      </c>
      <c r="G38" s="6" t="str">
        <f>HYPERLINK("https://stat100.ameba.jp/tnk47/ratio20/illustrations/card/ill_51561_iganoshinobihayate01.jpg", "■")</f>
        <v>■</v>
      </c>
      <c r="H38" s="4" t="s">
        <v>1170</v>
      </c>
      <c r="T38" s="4">
        <v>0</v>
      </c>
      <c r="U38" s="4" t="s">
        <v>1171</v>
      </c>
      <c r="V38" s="4" t="s">
        <v>522</v>
      </c>
      <c r="W38" s="4" t="s">
        <v>522</v>
      </c>
      <c r="X38" s="4" t="s">
        <v>522</v>
      </c>
      <c r="Y38" s="4" t="s">
        <v>1172</v>
      </c>
      <c r="Z38" s="4" t="s">
        <v>1168</v>
      </c>
    </row>
    <row r="39" spans="1:26" ht="23.25" customHeight="1">
      <c r="A39" s="137"/>
      <c r="B39" s="4">
        <v>51573</v>
      </c>
      <c r="C39" s="4" t="s">
        <v>601</v>
      </c>
      <c r="D39" s="4" t="s">
        <v>468</v>
      </c>
      <c r="E39" s="4" t="s">
        <v>602</v>
      </c>
      <c r="F39" s="5" t="s">
        <v>1173</v>
      </c>
      <c r="G39" s="6" t="str">
        <f>HYPERLINK("https://stat100.ameba.jp/tnk47/ratio20/illustrations/card/ill_51573_iganimpocho03.jpg", "■")</f>
        <v>■</v>
      </c>
      <c r="H39" s="4" t="s">
        <v>1174</v>
      </c>
      <c r="U39" s="4" t="s">
        <v>1175</v>
      </c>
      <c r="V39" s="4" t="s">
        <v>522</v>
      </c>
      <c r="W39" s="4" t="s">
        <v>522</v>
      </c>
      <c r="X39" s="4" t="s">
        <v>522</v>
      </c>
      <c r="Y39" s="4" t="s">
        <v>1176</v>
      </c>
      <c r="Z39" s="4" t="s">
        <v>1177</v>
      </c>
    </row>
    <row r="40" spans="1:26">
      <c r="A40" s="137" t="s">
        <v>726</v>
      </c>
      <c r="B40" s="4">
        <v>52551</v>
      </c>
      <c r="C40" s="4" t="s">
        <v>592</v>
      </c>
      <c r="D40" s="4" t="s">
        <v>381</v>
      </c>
      <c r="E40" s="4" t="s">
        <v>1178</v>
      </c>
      <c r="F40" s="5" t="s">
        <v>1179</v>
      </c>
      <c r="G40" s="6" t="str">
        <f>HYPERLINK("https://stat100.ameba.jp/tnk47/ratio20/illustrations/card/ill_52551_tenkuroanimarudensetsuhigashi01.jpg", "■")</f>
        <v>■</v>
      </c>
      <c r="H40" s="4" t="s">
        <v>1180</v>
      </c>
      <c r="T40" s="4">
        <v>0</v>
      </c>
      <c r="U40" s="4" t="s">
        <v>1181</v>
      </c>
      <c r="V40" s="4" t="s">
        <v>522</v>
      </c>
      <c r="W40" s="4" t="s">
        <v>522</v>
      </c>
      <c r="X40" s="4" t="s">
        <v>522</v>
      </c>
      <c r="Y40" s="4" t="s">
        <v>1182</v>
      </c>
      <c r="Z40" s="4" t="s">
        <v>1183</v>
      </c>
    </row>
    <row r="41" spans="1:26">
      <c r="A41" s="137"/>
      <c r="B41" s="4">
        <v>52561</v>
      </c>
      <c r="C41" s="4" t="s">
        <v>592</v>
      </c>
      <c r="D41" s="4" t="s">
        <v>381</v>
      </c>
      <c r="E41" s="4" t="s">
        <v>613</v>
      </c>
      <c r="F41" s="5" t="s">
        <v>1184</v>
      </c>
      <c r="G41" s="6" t="str">
        <f>HYPERLINK("https://stat100.ameba.jp/tnk47/ratio20/illustrations/card/ill_52561_tenkuroanimarudensetsunishi01.jpg", "■")</f>
        <v>■</v>
      </c>
      <c r="H41" s="4" t="s">
        <v>1185</v>
      </c>
      <c r="T41" s="4">
        <v>0</v>
      </c>
      <c r="V41" s="4" t="s">
        <v>522</v>
      </c>
      <c r="W41" s="4" t="s">
        <v>522</v>
      </c>
      <c r="X41" s="4" t="s">
        <v>522</v>
      </c>
      <c r="Y41" s="4" t="s">
        <v>1186</v>
      </c>
      <c r="Z41" s="4" t="s">
        <v>1183</v>
      </c>
    </row>
    <row r="42" spans="1:26" ht="23.25" customHeight="1">
      <c r="A42" s="137"/>
      <c r="B42" s="4">
        <v>52573</v>
      </c>
      <c r="C42" s="4" t="s">
        <v>601</v>
      </c>
      <c r="D42" s="4" t="s">
        <v>381</v>
      </c>
      <c r="E42" s="4" t="s">
        <v>602</v>
      </c>
      <c r="F42" s="5" t="s">
        <v>1187</v>
      </c>
      <c r="G42" s="6" t="str">
        <f>HYPERLINK("https://stat100.ameba.jp/tnk47/ratio20/illustrations/card/ill_52573_tenkuroanimarudensetsu03.jpg", "■")</f>
        <v>■</v>
      </c>
      <c r="H42" s="4" t="s">
        <v>1188</v>
      </c>
      <c r="U42" s="4" t="s">
        <v>1189</v>
      </c>
      <c r="V42" s="4" t="s">
        <v>522</v>
      </c>
      <c r="W42" s="4" t="s">
        <v>522</v>
      </c>
      <c r="X42" s="4" t="s">
        <v>522</v>
      </c>
      <c r="Y42" s="4" t="s">
        <v>1190</v>
      </c>
      <c r="Z42" s="4" t="s">
        <v>1191</v>
      </c>
    </row>
    <row r="43" spans="1:26">
      <c r="A43" s="137" t="s">
        <v>591</v>
      </c>
      <c r="B43" s="4">
        <v>53291</v>
      </c>
      <c r="C43" s="4" t="s">
        <v>592</v>
      </c>
      <c r="D43" s="4" t="s">
        <v>216</v>
      </c>
      <c r="E43" s="4" t="s">
        <v>608</v>
      </c>
      <c r="F43" s="5" t="s">
        <v>1192</v>
      </c>
      <c r="G43" s="6" t="str">
        <f>HYPERLINK("https://stat100.ameba.jp/tnk47/ratio20/illustrations/card/ill_53291_tenkurowanokanadehigashi01.jpg", "■")</f>
        <v>■</v>
      </c>
      <c r="H43" s="4" t="s">
        <v>1193</v>
      </c>
      <c r="T43" s="4">
        <v>0</v>
      </c>
      <c r="U43" s="4" t="s">
        <v>1194</v>
      </c>
      <c r="V43" s="4" t="s">
        <v>522</v>
      </c>
      <c r="W43" s="4" t="s">
        <v>522</v>
      </c>
      <c r="X43" s="4" t="s">
        <v>522</v>
      </c>
      <c r="Y43" s="4" t="s">
        <v>1195</v>
      </c>
      <c r="Z43" s="4" t="s">
        <v>1196</v>
      </c>
    </row>
    <row r="44" spans="1:26">
      <c r="A44" s="137"/>
      <c r="B44" s="4">
        <v>53301</v>
      </c>
      <c r="C44" s="4" t="s">
        <v>592</v>
      </c>
      <c r="D44" s="4" t="s">
        <v>216</v>
      </c>
      <c r="E44" s="4" t="s">
        <v>613</v>
      </c>
      <c r="F44" s="5" t="s">
        <v>1197</v>
      </c>
      <c r="G44" s="6" t="str">
        <f>HYPERLINK("https://stat100.ameba.jp/tnk47/ratio20/illustrations/card/ill_53301_tenkurowanokanadenishi01.jpg", "■")</f>
        <v>■</v>
      </c>
      <c r="H44" s="4" t="s">
        <v>1198</v>
      </c>
      <c r="T44" s="4">
        <v>0</v>
      </c>
      <c r="V44" s="4" t="s">
        <v>522</v>
      </c>
      <c r="W44" s="4" t="s">
        <v>522</v>
      </c>
      <c r="X44" s="4" t="s">
        <v>522</v>
      </c>
      <c r="Y44" s="4" t="s">
        <v>1199</v>
      </c>
      <c r="Z44" s="4" t="s">
        <v>1200</v>
      </c>
    </row>
    <row r="45" spans="1:26" ht="23.25" customHeight="1">
      <c r="A45" s="137"/>
      <c r="B45" s="4">
        <v>53313</v>
      </c>
      <c r="C45" s="4" t="s">
        <v>601</v>
      </c>
      <c r="D45" s="4" t="s">
        <v>216</v>
      </c>
      <c r="E45" s="4" t="s">
        <v>602</v>
      </c>
      <c r="F45" s="5" t="s">
        <v>1201</v>
      </c>
      <c r="G45" s="6" t="str">
        <f>HYPERLINK("https://stat100.ameba.jp/tnk47/ratio20/illustrations/card/ill_53313_tenkurowanokanadetennozan03.jpg", "■")</f>
        <v>■</v>
      </c>
      <c r="H45" s="4" t="s">
        <v>1202</v>
      </c>
      <c r="U45" s="4" t="s">
        <v>1203</v>
      </c>
      <c r="V45" s="4" t="s">
        <v>522</v>
      </c>
      <c r="W45" s="4" t="s">
        <v>522</v>
      </c>
      <c r="X45" s="4" t="s">
        <v>522</v>
      </c>
      <c r="Y45" s="4" t="s">
        <v>1204</v>
      </c>
      <c r="Z45" s="4" t="s">
        <v>1205</v>
      </c>
    </row>
    <row r="46" spans="1:26">
      <c r="A46" s="137" t="s">
        <v>607</v>
      </c>
      <c r="B46" s="4">
        <v>54401</v>
      </c>
      <c r="C46" s="4" t="s">
        <v>592</v>
      </c>
      <c r="D46" s="4" t="s">
        <v>235</v>
      </c>
      <c r="E46" s="4" t="s">
        <v>608</v>
      </c>
      <c r="F46" s="5" t="s">
        <v>1206</v>
      </c>
      <c r="G46" s="6" t="str">
        <f>HYPERLINK("https://stat100.ameba.jp/tnk47/ratio20/illustrations/card/ill_54401_tenkuroteppotaitogun01.jpg", "■")</f>
        <v>■</v>
      </c>
      <c r="H46" s="4" t="s">
        <v>1207</v>
      </c>
      <c r="T46" s="4">
        <v>0</v>
      </c>
      <c r="V46" s="4" t="s">
        <v>522</v>
      </c>
      <c r="W46" s="4" t="s">
        <v>522</v>
      </c>
      <c r="X46" s="4" t="s">
        <v>522</v>
      </c>
      <c r="Y46" s="4" t="s">
        <v>1208</v>
      </c>
      <c r="Z46" s="4" t="s">
        <v>1209</v>
      </c>
    </row>
    <row r="47" spans="1:26">
      <c r="A47" s="137"/>
      <c r="B47" s="4">
        <v>54411</v>
      </c>
      <c r="C47" s="4" t="s">
        <v>592</v>
      </c>
      <c r="D47" s="4" t="s">
        <v>235</v>
      </c>
      <c r="E47" s="4" t="s">
        <v>613</v>
      </c>
      <c r="F47" s="5" t="s">
        <v>1210</v>
      </c>
      <c r="G47" s="6" t="str">
        <f>HYPERLINK("https://stat100.ameba.jp/tnk47/ratio20/illustrations/card/ill_54411_tenkuroteppotaiseigun01.jpg", "■")</f>
        <v>■</v>
      </c>
      <c r="H47" s="4" t="s">
        <v>1211</v>
      </c>
      <c r="T47" s="4">
        <v>0</v>
      </c>
      <c r="U47" s="4" t="s">
        <v>1212</v>
      </c>
      <c r="V47" s="4" t="s">
        <v>522</v>
      </c>
      <c r="W47" s="4" t="s">
        <v>522</v>
      </c>
      <c r="X47" s="4" t="s">
        <v>522</v>
      </c>
      <c r="Y47" s="4" t="s">
        <v>1213</v>
      </c>
      <c r="Z47" s="4" t="s">
        <v>1209</v>
      </c>
    </row>
    <row r="48" spans="1:26" ht="23.25" customHeight="1">
      <c r="A48" s="137"/>
      <c r="B48" s="4">
        <v>54423</v>
      </c>
      <c r="C48" s="4" t="s">
        <v>601</v>
      </c>
      <c r="D48" s="4" t="s">
        <v>235</v>
      </c>
      <c r="E48" s="4" t="s">
        <v>602</v>
      </c>
      <c r="F48" s="5" t="s">
        <v>1214</v>
      </c>
      <c r="G48" s="6" t="str">
        <f>HYPERLINK("https://stat100.ameba.jp/tnk47/ratio20/illustrations/card/ill_54423_tenkuroteppotai03.jpg", "■")</f>
        <v>■</v>
      </c>
      <c r="H48" s="4" t="s">
        <v>1215</v>
      </c>
      <c r="U48" s="4" t="s">
        <v>1216</v>
      </c>
      <c r="V48" s="4" t="s">
        <v>522</v>
      </c>
      <c r="W48" s="4" t="s">
        <v>522</v>
      </c>
      <c r="X48" s="4" t="s">
        <v>522</v>
      </c>
      <c r="Y48" s="4" t="s">
        <v>1217</v>
      </c>
      <c r="Z48" s="4" t="s">
        <v>1218</v>
      </c>
    </row>
    <row r="49" spans="1:26">
      <c r="A49" s="137" t="s">
        <v>622</v>
      </c>
      <c r="B49" s="4">
        <v>55191</v>
      </c>
      <c r="C49" s="4" t="s">
        <v>592</v>
      </c>
      <c r="D49" s="4" t="s">
        <v>248</v>
      </c>
      <c r="E49" s="4" t="s">
        <v>608</v>
      </c>
      <c r="F49" s="5" t="s">
        <v>1219</v>
      </c>
      <c r="G49" s="6" t="str">
        <f>HYPERLINK("https://stat100.ameba.jp/tnk47/ratio20/illustrations/card/ill_55191_nisenjurokuomatsuriyataichanzuhigashi01.jpg", "■")</f>
        <v>■</v>
      </c>
      <c r="H49" s="4" t="s">
        <v>1220</v>
      </c>
      <c r="T49" s="4">
        <v>0</v>
      </c>
      <c r="V49" s="4" t="s">
        <v>522</v>
      </c>
      <c r="W49" s="4" t="s">
        <v>522</v>
      </c>
      <c r="X49" s="4" t="s">
        <v>522</v>
      </c>
      <c r="Y49" s="4" t="s">
        <v>1221</v>
      </c>
      <c r="Z49" s="4" t="s">
        <v>1168</v>
      </c>
    </row>
    <row r="50" spans="1:26">
      <c r="A50" s="137"/>
      <c r="B50" s="4">
        <v>55201</v>
      </c>
      <c r="C50" s="4" t="s">
        <v>592</v>
      </c>
      <c r="D50" s="4" t="s">
        <v>248</v>
      </c>
      <c r="E50" s="4" t="s">
        <v>613</v>
      </c>
      <c r="F50" s="5" t="s">
        <v>1222</v>
      </c>
      <c r="G50" s="6" t="str">
        <f>HYPERLINK("https://stat100.ameba.jp/tnk47/ratio20/illustrations/card/ill_55201_nisenjurokuomatsuriyataichanzunishi01.jpg", "■")</f>
        <v>■</v>
      </c>
      <c r="H50" s="4" t="s">
        <v>1223</v>
      </c>
      <c r="T50" s="4">
        <v>0</v>
      </c>
      <c r="U50" s="4" t="s">
        <v>1181</v>
      </c>
      <c r="V50" s="4" t="s">
        <v>522</v>
      </c>
      <c r="W50" s="4" t="s">
        <v>522</v>
      </c>
      <c r="X50" s="4" t="s">
        <v>522</v>
      </c>
      <c r="Y50" s="4" t="s">
        <v>1224</v>
      </c>
      <c r="Z50" s="4" t="s">
        <v>1168</v>
      </c>
    </row>
    <row r="51" spans="1:26" ht="23.25" customHeight="1">
      <c r="A51" s="137"/>
      <c r="B51" s="4">
        <v>55213</v>
      </c>
      <c r="C51" s="4" t="s">
        <v>601</v>
      </c>
      <c r="D51" s="4" t="s">
        <v>248</v>
      </c>
      <c r="E51" s="4" t="s">
        <v>602</v>
      </c>
      <c r="F51" s="5" t="s">
        <v>1225</v>
      </c>
      <c r="G51" s="6" t="str">
        <f>HYPERLINK("https://stat100.ameba.jp/tnk47/ratio20/illustrations/card/ill_55213_nisenjurokuomatsuriyataichanzu03.jpg", "■")</f>
        <v>■</v>
      </c>
      <c r="H51" s="4" t="s">
        <v>1226</v>
      </c>
      <c r="U51" s="4" t="s">
        <v>1227</v>
      </c>
      <c r="V51" s="4" t="s">
        <v>522</v>
      </c>
      <c r="W51" s="4" t="s">
        <v>522</v>
      </c>
      <c r="X51" s="4" t="s">
        <v>522</v>
      </c>
      <c r="Y51" s="4" t="s">
        <v>1228</v>
      </c>
      <c r="Z51" s="4" t="s">
        <v>1229</v>
      </c>
    </row>
    <row r="52" spans="1:26">
      <c r="A52" s="137" t="s">
        <v>633</v>
      </c>
      <c r="B52" s="4">
        <v>56691</v>
      </c>
      <c r="C52" s="4" t="s">
        <v>592</v>
      </c>
      <c r="D52" s="4" t="s">
        <v>302</v>
      </c>
      <c r="E52" s="4" t="s">
        <v>608</v>
      </c>
      <c r="F52" s="5" t="s">
        <v>1230</v>
      </c>
      <c r="G52" s="6" t="str">
        <f>HYPERLINK("https://stat100.ameba.jp/tnk47/ratio20/illustrations/card/ill_56691_tengunoyamahigashi01.jpg", "■")</f>
        <v>■</v>
      </c>
      <c r="H52" s="4" t="s">
        <v>1231</v>
      </c>
      <c r="T52" s="4">
        <v>0</v>
      </c>
      <c r="V52" s="4" t="s">
        <v>522</v>
      </c>
      <c r="W52" s="4" t="s">
        <v>522</v>
      </c>
      <c r="X52" s="4" t="s">
        <v>522</v>
      </c>
      <c r="Y52" s="4" t="s">
        <v>1232</v>
      </c>
      <c r="Z52" s="4" t="s">
        <v>1233</v>
      </c>
    </row>
    <row r="53" spans="1:26">
      <c r="A53" s="137"/>
      <c r="B53" s="4">
        <v>56701</v>
      </c>
      <c r="C53" s="4" t="s">
        <v>592</v>
      </c>
      <c r="D53" s="4" t="s">
        <v>302</v>
      </c>
      <c r="E53" s="4" t="s">
        <v>613</v>
      </c>
      <c r="F53" s="5" t="s">
        <v>1234</v>
      </c>
      <c r="G53" s="6" t="str">
        <f>HYPERLINK("https://stat100.ameba.jp/tnk47/ratio20/illustrations/card/ill_56701_tengunoyamanishi01.jpg", "■")</f>
        <v>■</v>
      </c>
      <c r="H53" s="4" t="s">
        <v>1235</v>
      </c>
      <c r="T53" s="4">
        <v>0</v>
      </c>
      <c r="V53" s="4" t="s">
        <v>522</v>
      </c>
      <c r="W53" s="4" t="s">
        <v>522</v>
      </c>
      <c r="X53" s="4" t="s">
        <v>522</v>
      </c>
      <c r="Y53" s="4" t="s">
        <v>1236</v>
      </c>
      <c r="Z53" s="4" t="s">
        <v>1237</v>
      </c>
    </row>
    <row r="54" spans="1:26" ht="23.25" customHeight="1">
      <c r="A54" s="137"/>
      <c r="B54" s="4">
        <v>56713</v>
      </c>
      <c r="C54" s="4" t="s">
        <v>601</v>
      </c>
      <c r="D54" s="4" t="s">
        <v>302</v>
      </c>
      <c r="E54" s="4" t="s">
        <v>602</v>
      </c>
      <c r="F54" s="5" t="s">
        <v>1238</v>
      </c>
      <c r="G54" s="6" t="str">
        <f>HYPERLINK("https://stat100.ameba.jp/tnk47/ratio20/illustrations/card/ill_56713_tengunoyamayamatoyokai03.jpg", "■")</f>
        <v>■</v>
      </c>
      <c r="H54" s="4" t="s">
        <v>1239</v>
      </c>
      <c r="U54" s="4" t="s">
        <v>1240</v>
      </c>
      <c r="V54" s="4" t="s">
        <v>522</v>
      </c>
      <c r="W54" s="4" t="s">
        <v>522</v>
      </c>
      <c r="X54" s="4" t="s">
        <v>522</v>
      </c>
      <c r="Y54" s="4" t="s">
        <v>1241</v>
      </c>
      <c r="Z54" s="4" t="s">
        <v>1242</v>
      </c>
    </row>
    <row r="55" spans="1:26">
      <c r="A55" s="137" t="s">
        <v>636</v>
      </c>
      <c r="B55" s="4">
        <v>57031</v>
      </c>
      <c r="C55" s="4" t="s">
        <v>592</v>
      </c>
      <c r="D55" s="4" t="s">
        <v>209</v>
      </c>
      <c r="E55" s="4" t="s">
        <v>608</v>
      </c>
      <c r="F55" s="5" t="s">
        <v>1243</v>
      </c>
      <c r="G55" s="6" t="str">
        <f>HYPERLINK("https://stat100.ameba.jp/tnk47/ratio20/illustrations/card/ill_57031_bungakunokyoshohigashi01.jpg", "■")</f>
        <v>■</v>
      </c>
      <c r="H55" s="4" t="s">
        <v>1244</v>
      </c>
      <c r="T55" s="4">
        <v>0</v>
      </c>
      <c r="U55" s="4" t="s">
        <v>1245</v>
      </c>
      <c r="V55" s="4" t="s">
        <v>522</v>
      </c>
      <c r="W55" s="4" t="s">
        <v>522</v>
      </c>
      <c r="X55" s="4" t="s">
        <v>522</v>
      </c>
      <c r="Y55" s="4" t="s">
        <v>1246</v>
      </c>
      <c r="Z55" s="4" t="s">
        <v>1247</v>
      </c>
    </row>
    <row r="56" spans="1:26">
      <c r="A56" s="137"/>
      <c r="B56" s="4">
        <v>57391</v>
      </c>
      <c r="C56" s="4" t="s">
        <v>592</v>
      </c>
      <c r="D56" s="4" t="s">
        <v>209</v>
      </c>
      <c r="E56" s="4" t="s">
        <v>613</v>
      </c>
      <c r="F56" s="5" t="s">
        <v>1248</v>
      </c>
      <c r="G56" s="6" t="str">
        <f>HYPERLINK("https://stat100.ameba.jp/tnk47/ratio20/illustrations/card/ill_57391_hokanoshozonishi01.jpg", "■")</f>
        <v>■</v>
      </c>
      <c r="H56" s="4" t="s">
        <v>1249</v>
      </c>
      <c r="T56" s="4">
        <v>0</v>
      </c>
      <c r="V56" s="4" t="s">
        <v>522</v>
      </c>
      <c r="W56" s="4" t="s">
        <v>522</v>
      </c>
      <c r="X56" s="4" t="s">
        <v>522</v>
      </c>
      <c r="Y56" s="4" t="s">
        <v>1250</v>
      </c>
      <c r="Z56" s="4" t="s">
        <v>1247</v>
      </c>
    </row>
    <row r="57" spans="1:26" ht="23.25" customHeight="1">
      <c r="A57" s="137"/>
      <c r="B57" s="4">
        <v>57403</v>
      </c>
      <c r="C57" s="4" t="s">
        <v>601</v>
      </c>
      <c r="D57" s="4" t="s">
        <v>209</v>
      </c>
      <c r="E57" s="4" t="s">
        <v>602</v>
      </c>
      <c r="F57" s="5" t="s">
        <v>1251</v>
      </c>
      <c r="G57" s="6" t="str">
        <f>HYPERLINK("https://stat100.ameba.jp/tnk47/ratio20/illustrations/card/ill_57403_hokanoshozo03.jpg", "■")</f>
        <v>■</v>
      </c>
      <c r="H57" s="4" t="s">
        <v>1252</v>
      </c>
      <c r="U57" s="4" t="s">
        <v>1253</v>
      </c>
      <c r="V57" s="4" t="s">
        <v>522</v>
      </c>
      <c r="W57" s="4" t="s">
        <v>522</v>
      </c>
      <c r="X57" s="4" t="s">
        <v>522</v>
      </c>
      <c r="Y57" s="4" t="s">
        <v>1254</v>
      </c>
      <c r="Z57" s="4" t="s">
        <v>1255</v>
      </c>
    </row>
    <row r="58" spans="1:26">
      <c r="A58" s="137" t="s">
        <v>647</v>
      </c>
      <c r="B58" s="4">
        <v>58421</v>
      </c>
      <c r="C58" s="4" t="s">
        <v>592</v>
      </c>
      <c r="D58" s="4" t="s">
        <v>381</v>
      </c>
      <c r="E58" s="4" t="s">
        <v>608</v>
      </c>
      <c r="F58" s="5" t="s">
        <v>1256</v>
      </c>
      <c r="G58" s="6" t="str">
        <f>HYPERLINK("https://stat100.ameba.jp/tnk47/ratio20/illustrations/card/ill_58421_tenkurokurisumasuyuki01.jpg", "■")</f>
        <v>■</v>
      </c>
      <c r="H58" s="4" t="s">
        <v>1257</v>
      </c>
      <c r="T58" s="4">
        <v>0</v>
      </c>
      <c r="U58" s="4" t="s">
        <v>1258</v>
      </c>
      <c r="V58" s="4" t="s">
        <v>522</v>
      </c>
      <c r="W58" s="4" t="s">
        <v>522</v>
      </c>
      <c r="X58" s="4" t="s">
        <v>522</v>
      </c>
      <c r="Y58" s="4" t="s">
        <v>1259</v>
      </c>
      <c r="Z58" s="4" t="s">
        <v>1117</v>
      </c>
    </row>
    <row r="59" spans="1:26">
      <c r="A59" s="137"/>
      <c r="B59" s="4">
        <v>58431</v>
      </c>
      <c r="C59" s="4" t="s">
        <v>592</v>
      </c>
      <c r="D59" s="4" t="s">
        <v>381</v>
      </c>
      <c r="E59" s="4" t="s">
        <v>613</v>
      </c>
      <c r="F59" s="5" t="s">
        <v>1260</v>
      </c>
      <c r="G59" s="6" t="str">
        <f>HYPERLINK("https://stat100.ameba.jp/tnk47/ratio20/illustrations/card/ill_58431_tenkurokurisumasuakari01.jpg", "■")</f>
        <v>■</v>
      </c>
      <c r="H59" s="4" t="s">
        <v>1261</v>
      </c>
      <c r="T59" s="4">
        <v>0</v>
      </c>
      <c r="V59" s="4" t="s">
        <v>522</v>
      </c>
      <c r="W59" s="4" t="s">
        <v>522</v>
      </c>
      <c r="X59" s="4" t="s">
        <v>522</v>
      </c>
      <c r="Y59" s="4" t="s">
        <v>1262</v>
      </c>
      <c r="Z59" s="4" t="s">
        <v>1117</v>
      </c>
    </row>
    <row r="60" spans="1:26">
      <c r="A60" s="137"/>
      <c r="B60" s="4">
        <v>58443</v>
      </c>
      <c r="C60" s="4" t="s">
        <v>601</v>
      </c>
      <c r="D60" s="4" t="s">
        <v>381</v>
      </c>
      <c r="E60" s="4" t="s">
        <v>602</v>
      </c>
      <c r="F60" s="5" t="s">
        <v>1263</v>
      </c>
      <c r="G60" s="6" t="str">
        <f>HYPERLINK("https://stat100.ameba.jp/tnk47/ratio20/illustrations/card/ill_58443_tenkurokurisumasusutori03.jpg", "■")</f>
        <v>■</v>
      </c>
      <c r="H60" s="4" t="s">
        <v>1264</v>
      </c>
      <c r="U60" s="4" t="s">
        <v>1265</v>
      </c>
      <c r="V60" s="4" t="s">
        <v>522</v>
      </c>
      <c r="W60" s="4" t="s">
        <v>522</v>
      </c>
      <c r="X60" s="4" t="s">
        <v>522</v>
      </c>
      <c r="Y60" s="4" t="s">
        <v>1266</v>
      </c>
      <c r="Z60" s="4" t="s">
        <v>1267</v>
      </c>
    </row>
    <row r="61" spans="1:26">
      <c r="A61" s="137" t="s">
        <v>659</v>
      </c>
      <c r="B61" s="4">
        <v>59481</v>
      </c>
      <c r="C61" s="4" t="s">
        <v>592</v>
      </c>
      <c r="D61" s="4" t="s">
        <v>229</v>
      </c>
      <c r="E61" s="4" t="s">
        <v>660</v>
      </c>
      <c r="F61" s="5" t="s">
        <v>1268</v>
      </c>
      <c r="G61" s="6" t="str">
        <f>HYPERLINK("https://stat100.ameba.jp/tnk47/ratio20/illustrations/card/ill_59481_kakedashisantatokuronorudorufu01.jpg", "■")</f>
        <v>■</v>
      </c>
      <c r="H61" s="4" t="s">
        <v>1269</v>
      </c>
      <c r="V61" s="4">
        <v>20</v>
      </c>
      <c r="W61" s="4">
        <v>38000</v>
      </c>
      <c r="X61" s="4">
        <v>34200</v>
      </c>
      <c r="Y61" s="4" t="s">
        <v>1270</v>
      </c>
      <c r="Z61" s="4" t="s">
        <v>1271</v>
      </c>
    </row>
    <row r="62" spans="1:26">
      <c r="A62" s="137"/>
      <c r="B62" s="4">
        <v>59491</v>
      </c>
      <c r="C62" s="4" t="s">
        <v>592</v>
      </c>
      <c r="D62" s="4" t="s">
        <v>229</v>
      </c>
      <c r="E62" s="4" t="s">
        <v>660</v>
      </c>
      <c r="F62" s="5" t="s">
        <v>1272</v>
      </c>
      <c r="G62" s="6" t="str">
        <f>HYPERLINK("https://stat100.ameba.jp/tnk47/ratio20/illustrations/card/ill_59491_minaraisantatoakanorudorufu01.jpg", "■")</f>
        <v>■</v>
      </c>
      <c r="H62" s="4" t="s">
        <v>1273</v>
      </c>
      <c r="U62" s="4" t="s">
        <v>1102</v>
      </c>
      <c r="V62" s="4">
        <v>20</v>
      </c>
      <c r="W62" s="4">
        <v>38000</v>
      </c>
      <c r="X62" s="4">
        <v>34200</v>
      </c>
      <c r="Y62" s="4" t="s">
        <v>1274</v>
      </c>
      <c r="Z62" s="4" t="s">
        <v>1271</v>
      </c>
    </row>
    <row r="63" spans="1:26">
      <c r="A63" s="137"/>
      <c r="B63" s="4">
        <v>59503</v>
      </c>
      <c r="C63" s="4" t="s">
        <v>601</v>
      </c>
      <c r="D63" s="4" t="s">
        <v>229</v>
      </c>
      <c r="E63" s="4" t="s">
        <v>681</v>
      </c>
      <c r="F63" s="5" t="s">
        <v>1275</v>
      </c>
      <c r="G63" s="6" t="str">
        <f>HYPERLINK("https://stat100.ameba.jp/tnk47/ratio20/illustrations/card/ill_59503_bakusoyangusantaakahananotonakai03.jpg", "■")</f>
        <v>■</v>
      </c>
      <c r="H63" s="4" t="s">
        <v>1276</v>
      </c>
      <c r="U63" s="4" t="s">
        <v>1277</v>
      </c>
      <c r="V63" s="4" t="s">
        <v>522</v>
      </c>
      <c r="W63" s="4" t="s">
        <v>522</v>
      </c>
      <c r="X63" s="4" t="s">
        <v>522</v>
      </c>
      <c r="Y63" s="4" t="s">
        <v>1278</v>
      </c>
      <c r="Z63" s="4" t="s">
        <v>1279</v>
      </c>
    </row>
    <row r="65" spans="1:26">
      <c r="A65" s="4" t="s">
        <v>809</v>
      </c>
    </row>
    <row r="66" spans="1:26">
      <c r="A66" s="137" t="s">
        <v>673</v>
      </c>
      <c r="B66" s="4">
        <v>60291</v>
      </c>
      <c r="C66" s="4" t="s">
        <v>592</v>
      </c>
      <c r="D66" s="4" t="s">
        <v>357</v>
      </c>
      <c r="E66" s="4" t="s">
        <v>608</v>
      </c>
      <c r="F66" s="5" t="s">
        <v>1280</v>
      </c>
      <c r="G66" s="6" t="str">
        <f>HYPERLINK("https://stat100.ameba.jp/tnk47/ratio20/illustrations/card/ill_60291_nisenjunanaosechigaruzuhigashi01.jpg", "■")</f>
        <v>■</v>
      </c>
      <c r="H66" s="4" t="s">
        <v>1281</v>
      </c>
      <c r="U66" s="4" t="s">
        <v>1282</v>
      </c>
      <c r="V66" s="4" t="s">
        <v>522</v>
      </c>
      <c r="W66" s="4" t="s">
        <v>522</v>
      </c>
      <c r="X66" s="4" t="s">
        <v>522</v>
      </c>
      <c r="Y66" s="4" t="s">
        <v>1283</v>
      </c>
      <c r="Z66" s="4" t="s">
        <v>1143</v>
      </c>
    </row>
    <row r="67" spans="1:26">
      <c r="A67" s="137"/>
      <c r="B67" s="4">
        <v>60301</v>
      </c>
      <c r="C67" s="4" t="s">
        <v>592</v>
      </c>
      <c r="D67" s="4" t="s">
        <v>357</v>
      </c>
      <c r="E67" s="4" t="s">
        <v>613</v>
      </c>
      <c r="F67" s="5" t="s">
        <v>1284</v>
      </c>
      <c r="G67" s="6" t="str">
        <f>HYPERLINK("https://stat100.ameba.jp/tnk47/ratio20/illustrations/card/ill_60301_nisenjunanaosechigaruzunishi01.jpg", "■")</f>
        <v>■</v>
      </c>
      <c r="H67" s="4" t="s">
        <v>1285</v>
      </c>
      <c r="U67" s="4" t="s">
        <v>1282</v>
      </c>
      <c r="V67" s="4" t="s">
        <v>522</v>
      </c>
      <c r="W67" s="4" t="s">
        <v>522</v>
      </c>
      <c r="X67" s="4" t="s">
        <v>522</v>
      </c>
      <c r="Y67" s="4" t="s">
        <v>1286</v>
      </c>
      <c r="Z67" s="4" t="s">
        <v>1143</v>
      </c>
    </row>
    <row r="68" spans="1:26">
      <c r="A68" s="137"/>
      <c r="B68" s="4">
        <v>60313</v>
      </c>
      <c r="C68" s="4" t="s">
        <v>601</v>
      </c>
      <c r="D68" s="4" t="s">
        <v>357</v>
      </c>
      <c r="E68" s="4" t="s">
        <v>681</v>
      </c>
      <c r="F68" s="5" t="s">
        <v>1287</v>
      </c>
      <c r="G68" s="6" t="str">
        <f>HYPERLINK("https://stat100.ameba.jp/tnk47/ratio20/illustrations/card/ill_60313_nisenjunanasaikokyuosechigaruzu03.jpg", "■")</f>
        <v>■</v>
      </c>
      <c r="H68" s="4" t="s">
        <v>1288</v>
      </c>
      <c r="U68" s="4" t="s">
        <v>1289</v>
      </c>
      <c r="V68" s="4" t="s">
        <v>522</v>
      </c>
      <c r="W68" s="4" t="s">
        <v>522</v>
      </c>
      <c r="X68" s="4" t="s">
        <v>522</v>
      </c>
      <c r="Y68" s="4" t="s">
        <v>1290</v>
      </c>
      <c r="Z68" s="4" t="s">
        <v>1291</v>
      </c>
    </row>
    <row r="69" spans="1:26">
      <c r="A69" s="137" t="s">
        <v>687</v>
      </c>
      <c r="B69" s="4">
        <v>60491</v>
      </c>
      <c r="C69" s="4" t="s">
        <v>592</v>
      </c>
      <c r="D69" s="4" t="s">
        <v>330</v>
      </c>
      <c r="E69" s="4" t="s">
        <v>608</v>
      </c>
      <c r="F69" s="5" t="s">
        <v>1292</v>
      </c>
      <c r="G69" s="6" t="str">
        <f>HYPERLINK("https://stat100.ameba.jp/tnk47/ratio20/illustrations/card/ill_60491_tenkurofuyuhimesukotohigashi01.jpg", "■")</f>
        <v>■</v>
      </c>
      <c r="H69" s="4" t="s">
        <v>1293</v>
      </c>
      <c r="U69" s="4" t="s">
        <v>1294</v>
      </c>
      <c r="V69" s="4" t="s">
        <v>522</v>
      </c>
      <c r="W69" s="4" t="s">
        <v>522</v>
      </c>
      <c r="X69" s="4" t="s">
        <v>522</v>
      </c>
      <c r="Y69" s="4" t="s">
        <v>1295</v>
      </c>
      <c r="Z69" s="4" t="s">
        <v>1183</v>
      </c>
    </row>
    <row r="70" spans="1:26">
      <c r="A70" s="137"/>
      <c r="B70" s="4">
        <v>60501</v>
      </c>
      <c r="C70" s="4" t="s">
        <v>592</v>
      </c>
      <c r="D70" s="4" t="s">
        <v>330</v>
      </c>
      <c r="E70" s="4" t="s">
        <v>613</v>
      </c>
      <c r="F70" s="5" t="s">
        <v>1296</v>
      </c>
      <c r="G70" s="6" t="str">
        <f>HYPERLINK("https://stat100.ameba.jp/tnk47/ratio20/illustrations/card/ill_60501_tenkurofuyuhimesukotonishi01.jpg", "■")</f>
        <v>■</v>
      </c>
      <c r="H70" s="4" t="s">
        <v>1297</v>
      </c>
      <c r="U70" s="4" t="s">
        <v>1298</v>
      </c>
      <c r="V70" s="4" t="s">
        <v>522</v>
      </c>
      <c r="W70" s="4" t="s">
        <v>522</v>
      </c>
      <c r="X70" s="4" t="s">
        <v>522</v>
      </c>
      <c r="Y70" s="4" t="s">
        <v>1299</v>
      </c>
      <c r="Z70" s="4" t="s">
        <v>1183</v>
      </c>
    </row>
    <row r="71" spans="1:26">
      <c r="A71" s="137"/>
      <c r="B71" s="4">
        <v>60513</v>
      </c>
      <c r="C71" s="4" t="s">
        <v>601</v>
      </c>
      <c r="D71" s="4" t="s">
        <v>330</v>
      </c>
      <c r="E71" s="4" t="s">
        <v>681</v>
      </c>
      <c r="F71" s="5" t="s">
        <v>1300</v>
      </c>
      <c r="G71" s="6" t="str">
        <f>HYPERLINK("https://stat100.ameba.jp/tnk47/ratio20/illustrations/card/ill_60513_tenkurofuyuhimesukoto03.jpg", "■")</f>
        <v>■</v>
      </c>
      <c r="H71" s="4" t="s">
        <v>1301</v>
      </c>
      <c r="U71" s="4" t="s">
        <v>1302</v>
      </c>
      <c r="V71" s="4" t="s">
        <v>522</v>
      </c>
      <c r="W71" s="4" t="s">
        <v>522</v>
      </c>
      <c r="X71" s="4" t="s">
        <v>522</v>
      </c>
      <c r="Y71" s="4" t="s">
        <v>1303</v>
      </c>
      <c r="Z71" s="4" t="s">
        <v>1304</v>
      </c>
    </row>
    <row r="72" spans="1:26">
      <c r="A72" s="137" t="s">
        <v>700</v>
      </c>
      <c r="B72" s="4">
        <v>61461</v>
      </c>
      <c r="C72" s="4" t="s">
        <v>592</v>
      </c>
      <c r="D72" s="4" t="s">
        <v>216</v>
      </c>
      <c r="E72" s="4" t="s">
        <v>608</v>
      </c>
      <c r="F72" s="5" t="s">
        <v>1305</v>
      </c>
      <c r="G72" s="6" t="str">
        <f>HYPERLINK("https://stat100.ameba.jp/tnk47/ratio20/illustrations/card/ill_61461_tenkurochojuhogokuhigashi01.jpg", "■")</f>
        <v>■</v>
      </c>
      <c r="H72" s="4" t="s">
        <v>1306</v>
      </c>
      <c r="U72" s="4" t="s">
        <v>1307</v>
      </c>
      <c r="V72" s="4" t="s">
        <v>522</v>
      </c>
      <c r="W72" s="4" t="s">
        <v>522</v>
      </c>
      <c r="X72" s="4" t="s">
        <v>522</v>
      </c>
      <c r="Y72" s="4" t="s">
        <v>1308</v>
      </c>
      <c r="Z72" s="4" t="s">
        <v>2424</v>
      </c>
    </row>
    <row r="73" spans="1:26">
      <c r="A73" s="137"/>
      <c r="B73" s="4">
        <v>61471</v>
      </c>
      <c r="C73" s="4" t="s">
        <v>592</v>
      </c>
      <c r="D73" s="4" t="s">
        <v>216</v>
      </c>
      <c r="E73" s="4" t="s">
        <v>613</v>
      </c>
      <c r="F73" s="5" t="s">
        <v>1309</v>
      </c>
      <c r="G73" s="6" t="str">
        <f>HYPERLINK("https://stat100.ameba.jp/tnk47/ratio20/illustrations/card/ill_61471_tenkurochojuhogokunishi01.jpg", "■")</f>
        <v>■</v>
      </c>
      <c r="H73" s="4" t="s">
        <v>1310</v>
      </c>
      <c r="U73" s="4" t="s">
        <v>1311</v>
      </c>
      <c r="V73" s="4" t="s">
        <v>522</v>
      </c>
      <c r="W73" s="4" t="s">
        <v>522</v>
      </c>
      <c r="X73" s="4" t="s">
        <v>522</v>
      </c>
      <c r="Y73" s="4" t="s">
        <v>1312</v>
      </c>
      <c r="Z73" s="4" t="s">
        <v>2424</v>
      </c>
    </row>
    <row r="74" spans="1:26">
      <c r="A74" s="137"/>
      <c r="B74" s="4">
        <v>61483</v>
      </c>
      <c r="C74" s="4" t="s">
        <v>601</v>
      </c>
      <c r="D74" s="4" t="s">
        <v>216</v>
      </c>
      <c r="E74" s="4" t="s">
        <v>681</v>
      </c>
      <c r="F74" s="5" t="s">
        <v>1313</v>
      </c>
      <c r="G74" s="6" t="str">
        <f>HYPERLINK("https://stat100.ameba.jp/tnk47/ratio20/illustrations/card/ill_61483_tenkurochojuhogoku03.jpg", "■")</f>
        <v>■</v>
      </c>
      <c r="H74" s="4" t="s">
        <v>1314</v>
      </c>
      <c r="U74" s="4" t="s">
        <v>1315</v>
      </c>
      <c r="V74" s="4" t="s">
        <v>522</v>
      </c>
      <c r="W74" s="4" t="s">
        <v>522</v>
      </c>
      <c r="X74" s="4" t="s">
        <v>522</v>
      </c>
      <c r="Y74" s="4" t="s">
        <v>1316</v>
      </c>
      <c r="Z74" s="4" t="s">
        <v>1317</v>
      </c>
    </row>
    <row r="75" spans="1:26">
      <c r="A75" s="137" t="s">
        <v>713</v>
      </c>
      <c r="B75" s="4">
        <v>62361</v>
      </c>
      <c r="C75" s="4" t="s">
        <v>592</v>
      </c>
      <c r="D75" s="4" t="s">
        <v>468</v>
      </c>
      <c r="E75" s="4" t="s">
        <v>608</v>
      </c>
      <c r="F75" s="5" t="s">
        <v>1318</v>
      </c>
      <c r="G75" s="6" t="str">
        <f>HYPERLINK("https://stat100.ameba.jp/tnk47/ratio20/illustrations/card/ill_62361_haijinharunosansakuhigashi01.jpg", "■")</f>
        <v>■</v>
      </c>
      <c r="H75" s="4" t="s">
        <v>1319</v>
      </c>
      <c r="U75" s="4" t="s">
        <v>1320</v>
      </c>
      <c r="V75" s="4" t="s">
        <v>522</v>
      </c>
      <c r="W75" s="4" t="s">
        <v>522</v>
      </c>
      <c r="X75" s="4" t="s">
        <v>522</v>
      </c>
      <c r="Y75" s="4" t="s">
        <v>777</v>
      </c>
      <c r="Z75" s="4" t="s">
        <v>778</v>
      </c>
    </row>
    <row r="76" spans="1:26">
      <c r="A76" s="137"/>
      <c r="B76" s="4">
        <v>62371</v>
      </c>
      <c r="C76" s="4" t="s">
        <v>592</v>
      </c>
      <c r="D76" s="4" t="s">
        <v>468</v>
      </c>
      <c r="E76" s="4" t="s">
        <v>613</v>
      </c>
      <c r="F76" s="5" t="s">
        <v>1321</v>
      </c>
      <c r="G76" s="6" t="str">
        <f>HYPERLINK("https://stat100.ameba.jp/tnk47/ratio20/illustrations/card/ill_62371_haijinharunosansakunishi01.jpg", "■")</f>
        <v>■</v>
      </c>
      <c r="H76" s="4" t="s">
        <v>1322</v>
      </c>
      <c r="U76" s="4" t="s">
        <v>1323</v>
      </c>
      <c r="V76" s="4" t="s">
        <v>522</v>
      </c>
      <c r="W76" s="4" t="s">
        <v>522</v>
      </c>
      <c r="X76" s="4" t="s">
        <v>522</v>
      </c>
      <c r="Y76" s="4" t="s">
        <v>781</v>
      </c>
      <c r="Z76" s="4" t="s">
        <v>778</v>
      </c>
    </row>
    <row r="77" spans="1:26">
      <c r="A77" s="137"/>
      <c r="B77" s="4">
        <v>62383</v>
      </c>
      <c r="C77" s="4" t="s">
        <v>601</v>
      </c>
      <c r="D77" s="4" t="s">
        <v>468</v>
      </c>
      <c r="E77" s="4" t="s">
        <v>681</v>
      </c>
      <c r="F77" s="5" t="s">
        <v>1324</v>
      </c>
      <c r="G77" s="6" t="str">
        <f>HYPERLINK("https://stat100.ameba.jp/tnk47/ratio20/illustrations/card/ill_62383_haijinharunosansakureikujushichion03.jpg", "■")</f>
        <v>■</v>
      </c>
      <c r="H77" s="4" t="s">
        <v>1325</v>
      </c>
      <c r="U77" s="4" t="s">
        <v>1326</v>
      </c>
      <c r="V77" s="4" t="s">
        <v>522</v>
      </c>
      <c r="W77" s="4" t="s">
        <v>522</v>
      </c>
      <c r="X77" s="4" t="s">
        <v>522</v>
      </c>
      <c r="Y77" s="4" t="s">
        <v>1327</v>
      </c>
      <c r="Z77" s="4" t="s">
        <v>1328</v>
      </c>
    </row>
    <row r="79" spans="1:26">
      <c r="A79" s="4" t="s">
        <v>1329</v>
      </c>
    </row>
    <row r="80" spans="1:26">
      <c r="A80" s="4" t="s">
        <v>950</v>
      </c>
    </row>
    <row r="81" spans="1:26">
      <c r="A81" s="137" t="s">
        <v>1330</v>
      </c>
      <c r="B81" s="4">
        <v>70151</v>
      </c>
      <c r="C81" s="4" t="s">
        <v>592</v>
      </c>
      <c r="D81" s="4" t="s">
        <v>381</v>
      </c>
      <c r="E81" s="4" t="s">
        <v>608</v>
      </c>
      <c r="F81" s="5" t="s">
        <v>1331</v>
      </c>
      <c r="G81" s="6" t="str">
        <f>HYPERLINK("https://stat100.ameba.jp/tnk47/ratio20/illustrations/card/ill_70151_hokutonohoshin01.jpg", "■")</f>
        <v>■</v>
      </c>
      <c r="H81" s="4" t="s">
        <v>1332</v>
      </c>
      <c r="V81" s="4">
        <v>11</v>
      </c>
      <c r="W81" s="4">
        <v>20900</v>
      </c>
      <c r="X81" s="4">
        <v>18810</v>
      </c>
      <c r="Y81" s="4" t="s">
        <v>1333</v>
      </c>
      <c r="Z81" s="4" t="s">
        <v>1334</v>
      </c>
    </row>
    <row r="82" spans="1:26">
      <c r="A82" s="137"/>
      <c r="B82" s="4">
        <v>70141</v>
      </c>
      <c r="C82" s="4" t="s">
        <v>592</v>
      </c>
      <c r="D82" s="4" t="s">
        <v>381</v>
      </c>
      <c r="E82" s="4" t="s">
        <v>613</v>
      </c>
      <c r="F82" s="5" t="s">
        <v>1335</v>
      </c>
      <c r="G82" s="6" t="str">
        <f>HYPERLINK("https://stat100.ameba.jp/tnk47/ratio20/illustrations/card/ill_70141_nanseinohoshin01.jpg", "■")</f>
        <v>■</v>
      </c>
      <c r="H82" s="4" t="s">
        <v>1336</v>
      </c>
      <c r="V82" s="4">
        <v>11</v>
      </c>
      <c r="W82" s="4">
        <v>20900</v>
      </c>
      <c r="X82" s="4">
        <v>18810</v>
      </c>
      <c r="Y82" s="4" t="s">
        <v>1337</v>
      </c>
      <c r="Z82" s="4" t="s">
        <v>1334</v>
      </c>
    </row>
    <row r="83" spans="1:26">
      <c r="A83" s="137"/>
      <c r="B83" s="4">
        <v>70163</v>
      </c>
      <c r="C83" s="4" t="s">
        <v>601</v>
      </c>
      <c r="D83" s="4" t="s">
        <v>381</v>
      </c>
      <c r="E83" s="4" t="s">
        <v>681</v>
      </c>
      <c r="F83" s="5" t="s">
        <v>1338</v>
      </c>
      <c r="G83" s="6" t="str">
        <f>HYPERLINK("https://stat100.ameba.jp/tnk47/ratio20/illustrations/card/ill_70163_hoishinshishin03.jpg", "■")</f>
        <v>■</v>
      </c>
      <c r="H83" s="4" t="s">
        <v>1339</v>
      </c>
      <c r="U83" s="4" t="s">
        <v>1340</v>
      </c>
      <c r="V83" s="4">
        <v>11</v>
      </c>
      <c r="W83" s="4">
        <v>49944</v>
      </c>
      <c r="X83" s="4">
        <v>46412</v>
      </c>
      <c r="Y83" s="4" t="s">
        <v>1341</v>
      </c>
      <c r="Z83" s="4" t="s">
        <v>1342</v>
      </c>
    </row>
  </sheetData>
  <mergeCells count="24">
    <mergeCell ref="A40:A42"/>
    <mergeCell ref="A4:A6"/>
    <mergeCell ref="A7:A9"/>
    <mergeCell ref="A10:A12"/>
    <mergeCell ref="A13:A15"/>
    <mergeCell ref="A16:A18"/>
    <mergeCell ref="A19:A21"/>
    <mergeCell ref="A22:A24"/>
    <mergeCell ref="A28:A30"/>
    <mergeCell ref="A31:A33"/>
    <mergeCell ref="A34:A36"/>
    <mergeCell ref="A37:A39"/>
    <mergeCell ref="A81:A83"/>
    <mergeCell ref="A43:A45"/>
    <mergeCell ref="A46:A48"/>
    <mergeCell ref="A49:A51"/>
    <mergeCell ref="A52:A54"/>
    <mergeCell ref="A55:A57"/>
    <mergeCell ref="A58:A60"/>
    <mergeCell ref="A61:A63"/>
    <mergeCell ref="A66:A68"/>
    <mergeCell ref="A69:A71"/>
    <mergeCell ref="A72:A74"/>
    <mergeCell ref="A75:A77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30B1-E901-4520-9700-730442A5573B}">
  <dimension ref="A1:M48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10.4140625" style="4" customWidth="1"/>
    <col min="2" max="2" width="7.6640625" style="4" customWidth="1"/>
    <col min="3" max="3" width="10.58203125" style="4" customWidth="1"/>
    <col min="4" max="4" width="5.58203125" style="4" customWidth="1"/>
    <col min="5" max="5" width="31" style="4" customWidth="1"/>
    <col min="6" max="6" width="3.9140625" style="4" customWidth="1"/>
    <col min="7" max="7" width="30.9140625" style="4" hidden="1" customWidth="1"/>
    <col min="8" max="8" width="6.6640625" style="4" customWidth="1"/>
    <col min="9" max="9" width="4.75" style="4" customWidth="1"/>
    <col min="10" max="11" width="7.33203125" style="4" customWidth="1"/>
    <col min="12" max="12" width="13.75" style="4" hidden="1" customWidth="1"/>
    <col min="13" max="13" width="71" style="4" customWidth="1"/>
    <col min="14" max="16384" width="8.9140625" style="4"/>
  </cols>
  <sheetData>
    <row r="1" spans="1:13">
      <c r="A1" s="1" t="s">
        <v>0</v>
      </c>
      <c r="B1" s="1" t="s">
        <v>586</v>
      </c>
      <c r="C1" s="1" t="s">
        <v>1343</v>
      </c>
      <c r="D1" s="1" t="s">
        <v>1344</v>
      </c>
      <c r="E1" s="1" t="s">
        <v>1345</v>
      </c>
      <c r="F1" s="1" t="s">
        <v>5</v>
      </c>
      <c r="G1" s="1" t="s">
        <v>1346</v>
      </c>
      <c r="H1" s="1" t="s">
        <v>1347</v>
      </c>
      <c r="I1" s="1" t="s">
        <v>7</v>
      </c>
      <c r="J1" s="1" t="s">
        <v>544</v>
      </c>
      <c r="K1" s="1" t="s">
        <v>545</v>
      </c>
      <c r="L1" s="1" t="s">
        <v>1348</v>
      </c>
      <c r="M1" s="1" t="s">
        <v>11</v>
      </c>
    </row>
    <row r="3" spans="1:13">
      <c r="A3" s="4" t="s">
        <v>1349</v>
      </c>
    </row>
    <row r="4" spans="1:13">
      <c r="A4" s="4" t="s">
        <v>1350</v>
      </c>
      <c r="B4" s="4">
        <v>78605</v>
      </c>
      <c r="C4" s="4" t="s">
        <v>1351</v>
      </c>
      <c r="D4" s="4" t="s">
        <v>295</v>
      </c>
      <c r="E4" s="5" t="s">
        <v>1352</v>
      </c>
      <c r="F4" s="6" t="str">
        <f>HYPERLINK("https://stat100.ameba.jp/tnk47/ratio20/illustrations/card/ill_78605_shishioreonidasu05.jpg", "■")</f>
        <v>■</v>
      </c>
      <c r="G4" s="4" t="s">
        <v>1353</v>
      </c>
      <c r="H4" s="4" t="s">
        <v>1354</v>
      </c>
      <c r="I4" s="4">
        <v>9</v>
      </c>
      <c r="J4" s="4">
        <v>40630</v>
      </c>
      <c r="K4" s="4">
        <v>56115</v>
      </c>
      <c r="L4" s="4" t="s">
        <v>1355</v>
      </c>
      <c r="M4" s="4" t="s">
        <v>2425</v>
      </c>
    </row>
    <row r="5" spans="1:13">
      <c r="A5" s="4" t="s">
        <v>1356</v>
      </c>
      <c r="B5" s="4">
        <v>79305</v>
      </c>
      <c r="C5" s="4" t="s">
        <v>1357</v>
      </c>
      <c r="D5" s="4" t="s">
        <v>79</v>
      </c>
      <c r="E5" s="5" t="s">
        <v>1358</v>
      </c>
      <c r="F5" s="6" t="str">
        <f>HYPERLINK("https://stat100.ameba.jp/tnk47/ratio20/illustrations/card/ill_79305_hoshiyominoruru05.jpg", "■")</f>
        <v>■</v>
      </c>
      <c r="G5" s="4" t="s">
        <v>1359</v>
      </c>
      <c r="H5" s="4" t="s">
        <v>1354</v>
      </c>
      <c r="I5" s="4">
        <v>9</v>
      </c>
      <c r="J5" s="4">
        <v>26873</v>
      </c>
      <c r="K5" s="4">
        <v>34964</v>
      </c>
      <c r="L5" s="4" t="s">
        <v>1360</v>
      </c>
      <c r="M5" s="4" t="s">
        <v>1361</v>
      </c>
    </row>
    <row r="6" spans="1:13">
      <c r="A6" s="4" t="s">
        <v>1362</v>
      </c>
      <c r="B6" s="4">
        <v>79955</v>
      </c>
      <c r="C6" s="4" t="s">
        <v>1351</v>
      </c>
      <c r="D6" s="4" t="s">
        <v>89</v>
      </c>
      <c r="E6" s="5" t="s">
        <v>1363</v>
      </c>
      <c r="F6" s="6" t="str">
        <f>HYPERLINK("https://stat100.ameba.jp/tnk47/ratio20/illustrations/card/ill_79955_aishoerato05.jpg", "■")</f>
        <v>■</v>
      </c>
      <c r="G6" s="4" t="s">
        <v>1364</v>
      </c>
      <c r="H6" s="4" t="s">
        <v>1354</v>
      </c>
      <c r="I6" s="4">
        <v>9</v>
      </c>
      <c r="J6" s="4">
        <v>34964</v>
      </c>
      <c r="K6" s="4">
        <v>26873</v>
      </c>
      <c r="L6" s="4" t="s">
        <v>1365</v>
      </c>
      <c r="M6" s="4" t="s">
        <v>873</v>
      </c>
    </row>
    <row r="7" spans="1:13">
      <c r="A7" s="4" t="s">
        <v>1366</v>
      </c>
      <c r="B7" s="4">
        <v>80555</v>
      </c>
      <c r="C7" s="4" t="s">
        <v>1367</v>
      </c>
      <c r="D7" s="4" t="s">
        <v>68</v>
      </c>
      <c r="E7" s="5" t="s">
        <v>1368</v>
      </c>
      <c r="F7" s="6" t="str">
        <f>HYPERLINK("https://stat100.ameba.jp/tnk47/ratio20/illustrations/card/ill_80555_sakuraoniuwabamiyamaza05.jpg", "■")</f>
        <v>■</v>
      </c>
      <c r="G7" s="4" t="s">
        <v>1369</v>
      </c>
      <c r="H7" s="4" t="s">
        <v>1354</v>
      </c>
      <c r="I7" s="4">
        <v>9</v>
      </c>
      <c r="J7" s="4">
        <v>26873</v>
      </c>
      <c r="K7" s="4">
        <v>34964</v>
      </c>
      <c r="L7" s="4" t="s">
        <v>1370</v>
      </c>
      <c r="M7" s="4" t="s">
        <v>1371</v>
      </c>
    </row>
    <row r="8" spans="1:13">
      <c r="A8" s="4" t="s">
        <v>1372</v>
      </c>
      <c r="B8" s="4">
        <v>81115</v>
      </c>
      <c r="C8" s="4" t="s">
        <v>1351</v>
      </c>
      <c r="D8" s="4" t="s">
        <v>43</v>
      </c>
      <c r="E8" s="5" t="s">
        <v>1373</v>
      </c>
      <c r="F8" s="6" t="str">
        <f>HYPERLINK("https://stat100.ameba.jp/tnk47/ratio20/illustrations/card/ill_81115_sakasuakagamitokurokami05.jpg", "■")</f>
        <v>■</v>
      </c>
      <c r="G8" s="4" t="s">
        <v>1374</v>
      </c>
      <c r="H8" s="4" t="s">
        <v>1354</v>
      </c>
      <c r="I8" s="4">
        <v>9</v>
      </c>
      <c r="J8" s="4">
        <v>39513</v>
      </c>
      <c r="K8" s="4">
        <v>28611</v>
      </c>
      <c r="L8" s="4" t="s">
        <v>1375</v>
      </c>
      <c r="M8" s="4" t="s">
        <v>1376</v>
      </c>
    </row>
    <row r="9" spans="1:13">
      <c r="A9" s="4" t="s">
        <v>1377</v>
      </c>
      <c r="B9" s="4">
        <v>81715</v>
      </c>
      <c r="C9" s="4" t="s">
        <v>1351</v>
      </c>
      <c r="D9" s="4" t="s">
        <v>15</v>
      </c>
      <c r="E9" s="5" t="s">
        <v>1378</v>
      </c>
      <c r="F9" s="6" t="str">
        <f>HYPERLINK("https://stat100.ameba.jp/tnk47/ratio20/illustrations/card/ill_81715_kourinkoujokazunomiya05.jpg", "■")</f>
        <v>■</v>
      </c>
      <c r="G9" s="4" t="s">
        <v>1379</v>
      </c>
      <c r="H9" s="4" t="s">
        <v>1354</v>
      </c>
      <c r="I9" s="4">
        <v>9</v>
      </c>
      <c r="J9" s="4">
        <v>34964</v>
      </c>
      <c r="K9" s="4">
        <v>26873</v>
      </c>
      <c r="L9" s="4" t="s">
        <v>1380</v>
      </c>
      <c r="M9" s="4" t="s">
        <v>1381</v>
      </c>
    </row>
    <row r="10" spans="1:13">
      <c r="A10" s="4" t="s">
        <v>1382</v>
      </c>
      <c r="B10" s="4">
        <v>82355</v>
      </c>
      <c r="C10" s="4" t="s">
        <v>1367</v>
      </c>
      <c r="D10" s="4" t="s">
        <v>27</v>
      </c>
      <c r="E10" s="5" t="s">
        <v>1383</v>
      </c>
      <c r="F10" s="6" t="str">
        <f>HYPERLINK("https://stat100.ameba.jp/tnk47/ratio20/illustrations/card/ill_82355_tonkotsuramen05.jpg", "■")</f>
        <v>■</v>
      </c>
      <c r="G10" s="4" t="s">
        <v>1384</v>
      </c>
      <c r="H10" s="4" t="s">
        <v>1354</v>
      </c>
      <c r="I10" s="4">
        <v>9</v>
      </c>
      <c r="J10" s="4">
        <v>44523</v>
      </c>
      <c r="K10" s="4">
        <v>32239</v>
      </c>
      <c r="L10" s="4" t="s">
        <v>1385</v>
      </c>
      <c r="M10" s="4" t="s">
        <v>897</v>
      </c>
    </row>
    <row r="11" spans="1:13">
      <c r="A11" s="4" t="s">
        <v>1386</v>
      </c>
      <c r="B11" s="4">
        <v>82895</v>
      </c>
      <c r="C11" s="4" t="s">
        <v>1351</v>
      </c>
      <c r="D11" s="4" t="s">
        <v>53</v>
      </c>
      <c r="E11" s="5" t="s">
        <v>1387</v>
      </c>
      <c r="F11" s="6" t="str">
        <f>HYPERLINK("https://stat100.ameba.jp/tnk47/ratio20/illustrations/card/ill_82895_koroka05.jpg", "■")</f>
        <v>■</v>
      </c>
      <c r="G11" s="4" t="s">
        <v>1388</v>
      </c>
      <c r="H11" s="4" t="s">
        <v>1354</v>
      </c>
      <c r="I11" s="4">
        <v>9</v>
      </c>
      <c r="J11" s="4">
        <v>39209</v>
      </c>
      <c r="K11" s="4">
        <v>28394</v>
      </c>
      <c r="L11" s="4" t="s">
        <v>1389</v>
      </c>
      <c r="M11" s="4" t="s">
        <v>1390</v>
      </c>
    </row>
    <row r="12" spans="1:13">
      <c r="A12" s="4" t="s">
        <v>1391</v>
      </c>
      <c r="B12" s="4">
        <v>83485</v>
      </c>
      <c r="C12" s="4" t="s">
        <v>1367</v>
      </c>
      <c r="D12" s="4" t="s">
        <v>295</v>
      </c>
      <c r="E12" s="5" t="s">
        <v>1392</v>
      </c>
      <c r="F12" s="6" t="str">
        <f>HYPERLINK("https://stat100.ameba.jp/tnk47/ratio20/illustrations/card/ill_83485_senninzukaashikagayoshiteru05.jpg", "■")</f>
        <v>■</v>
      </c>
      <c r="G12" s="4" t="s">
        <v>1393</v>
      </c>
      <c r="H12" s="4" t="s">
        <v>1354</v>
      </c>
      <c r="I12" s="4">
        <v>9</v>
      </c>
      <c r="J12" s="4">
        <v>56115</v>
      </c>
      <c r="K12" s="4">
        <v>40630</v>
      </c>
      <c r="L12" s="4" t="s">
        <v>1394</v>
      </c>
      <c r="M12" s="4" t="s">
        <v>1395</v>
      </c>
    </row>
    <row r="13" spans="1:13">
      <c r="A13" s="4" t="s">
        <v>1396</v>
      </c>
      <c r="B13" s="4">
        <v>84135</v>
      </c>
      <c r="C13" s="4" t="s">
        <v>1351</v>
      </c>
      <c r="D13" s="4" t="s">
        <v>552</v>
      </c>
      <c r="E13" s="5" t="s">
        <v>1397</v>
      </c>
      <c r="F13" s="6" t="str">
        <f>HYPERLINK("https://stat100.ameba.jp/tnk47/ratio20/illustrations/card/ill_84135_baku05.jpg", "■")</f>
        <v>■</v>
      </c>
      <c r="G13" s="4" t="s">
        <v>1398</v>
      </c>
      <c r="H13" s="4" t="s">
        <v>1354</v>
      </c>
      <c r="I13" s="4">
        <v>9</v>
      </c>
      <c r="J13" s="4">
        <v>28437</v>
      </c>
      <c r="K13" s="4">
        <v>37005</v>
      </c>
      <c r="L13" s="4" t="s">
        <v>1399</v>
      </c>
      <c r="M13" s="4" t="s">
        <v>1400</v>
      </c>
    </row>
    <row r="14" spans="1:13">
      <c r="A14" s="4" t="s">
        <v>1401</v>
      </c>
      <c r="B14" s="4">
        <v>84855</v>
      </c>
      <c r="C14" s="4" t="s">
        <v>1367</v>
      </c>
      <c r="D14" s="4" t="s">
        <v>89</v>
      </c>
      <c r="E14" s="5" t="s">
        <v>1402</v>
      </c>
      <c r="F14" s="6" t="str">
        <f>HYPERLINK("https://stat100.ameba.jp/tnk47/ratio20/illustrations/card/ill_84855_saicho05.jpg", "■")</f>
        <v>■</v>
      </c>
      <c r="G14" s="4" t="s">
        <v>1403</v>
      </c>
      <c r="H14" s="4" t="s">
        <v>1354</v>
      </c>
      <c r="I14" s="4">
        <v>9</v>
      </c>
      <c r="J14" s="4">
        <v>27435</v>
      </c>
      <c r="K14" s="4">
        <v>37885</v>
      </c>
      <c r="L14" s="4" t="s">
        <v>1404</v>
      </c>
      <c r="M14" s="4" t="s">
        <v>1010</v>
      </c>
    </row>
    <row r="15" spans="1:13">
      <c r="A15" s="4" t="s">
        <v>1405</v>
      </c>
      <c r="B15" s="4">
        <v>85455</v>
      </c>
      <c r="C15" s="4" t="s">
        <v>1351</v>
      </c>
      <c r="D15" s="4" t="s">
        <v>552</v>
      </c>
      <c r="E15" s="5" t="s">
        <v>1406</v>
      </c>
      <c r="F15" s="6" t="str">
        <f>HYPERLINK("https://stat100.ameba.jp/tnk47/ratio20/illustrations/card/ill_85455_okikurumi05.jpg", "■")</f>
        <v>■</v>
      </c>
      <c r="G15" s="4" t="s">
        <v>1407</v>
      </c>
      <c r="H15" s="33" t="s">
        <v>1354</v>
      </c>
      <c r="I15" s="4">
        <v>9</v>
      </c>
      <c r="J15" s="4">
        <v>37005</v>
      </c>
      <c r="K15" s="4">
        <v>28437</v>
      </c>
      <c r="L15" s="4" t="s">
        <v>1408</v>
      </c>
      <c r="M15" s="4" t="s">
        <v>1409</v>
      </c>
    </row>
    <row r="17" spans="1:13">
      <c r="A17" s="4" t="s">
        <v>1410</v>
      </c>
    </row>
    <row r="18" spans="1:13">
      <c r="A18" s="4" t="s">
        <v>1350</v>
      </c>
      <c r="B18" s="4">
        <v>86205</v>
      </c>
      <c r="C18" s="4" t="s">
        <v>1411</v>
      </c>
      <c r="D18" s="4" t="s">
        <v>27</v>
      </c>
      <c r="E18" s="5" t="s">
        <v>1412</v>
      </c>
      <c r="F18" s="6" t="str">
        <f>HYPERLINK("https://stat100.ameba.jp/tnk47/ratio20/illustrations/card/ill_86205_omikichan05.jpg", "■")</f>
        <v>■</v>
      </c>
      <c r="G18" s="4" t="s">
        <v>1413</v>
      </c>
      <c r="H18" s="4" t="s">
        <v>1354</v>
      </c>
      <c r="I18" s="4">
        <v>9</v>
      </c>
      <c r="J18" s="4">
        <v>32239</v>
      </c>
      <c r="K18" s="4">
        <v>44523</v>
      </c>
      <c r="L18" s="4" t="s">
        <v>1414</v>
      </c>
      <c r="M18" s="4" t="s">
        <v>1415</v>
      </c>
    </row>
    <row r="19" spans="1:13">
      <c r="A19" s="4" t="s">
        <v>1356</v>
      </c>
      <c r="B19" s="4">
        <v>86825</v>
      </c>
      <c r="C19" s="4" t="s">
        <v>1351</v>
      </c>
      <c r="D19" s="4" t="s">
        <v>43</v>
      </c>
      <c r="E19" s="5" t="s">
        <v>1416</v>
      </c>
      <c r="F19" s="6" t="str">
        <f>HYPERLINK("https://stat100.ameba.jp/tnk47/ratio20/illustrations/card/ill_86825_onikojimayataro05.jpg", "■")</f>
        <v>■</v>
      </c>
      <c r="G19" s="4" t="s">
        <v>1417</v>
      </c>
      <c r="H19" s="4" t="s">
        <v>1354</v>
      </c>
      <c r="I19" s="4">
        <v>9</v>
      </c>
      <c r="J19" s="4">
        <v>29853</v>
      </c>
      <c r="K19" s="4">
        <v>38850</v>
      </c>
      <c r="L19" s="4" t="s">
        <v>1418</v>
      </c>
      <c r="M19" s="4" t="s">
        <v>1419</v>
      </c>
    </row>
    <row r="20" spans="1:13">
      <c r="A20" s="4" t="s">
        <v>1420</v>
      </c>
      <c r="B20" s="4">
        <v>87575</v>
      </c>
      <c r="C20" s="4" t="s">
        <v>1367</v>
      </c>
      <c r="D20" s="4" t="s">
        <v>552</v>
      </c>
      <c r="E20" s="5" t="s">
        <v>1421</v>
      </c>
      <c r="F20" s="6" t="str">
        <f>HYPERLINK("https://stat100.ameba.jp/tnk47/ratio20/illustrations/card/ill_87575_kumanofusuminokami05.jpg", "■")</f>
        <v>■</v>
      </c>
      <c r="G20" s="4" t="s">
        <v>1422</v>
      </c>
      <c r="H20" s="40" t="s">
        <v>1354</v>
      </c>
      <c r="I20" s="4">
        <v>9</v>
      </c>
      <c r="J20" s="4">
        <v>37005</v>
      </c>
      <c r="K20" s="4">
        <v>28437</v>
      </c>
      <c r="L20" s="4" t="s">
        <v>1423</v>
      </c>
      <c r="M20" s="4" t="s">
        <v>1409</v>
      </c>
    </row>
    <row r="21" spans="1:13" s="11" customFormat="1">
      <c r="A21" s="11" t="s">
        <v>2258</v>
      </c>
      <c r="B21" s="11">
        <v>88295</v>
      </c>
      <c r="C21" s="11" t="s">
        <v>1351</v>
      </c>
      <c r="D21" s="11" t="s">
        <v>48</v>
      </c>
      <c r="E21" s="5" t="s">
        <v>2257</v>
      </c>
      <c r="F21" s="6" t="str">
        <f>HYPERLINK("https://stat100.ameba.jp/tnk47/ratio20/illustrations/card/ill_88295_ikkitosemmaedakeiji05.jpg", "■")</f>
        <v>■</v>
      </c>
      <c r="G21" s="11" t="s">
        <v>2259</v>
      </c>
      <c r="H21" s="43" t="s">
        <v>1354</v>
      </c>
      <c r="I21" s="11">
        <v>9</v>
      </c>
      <c r="J21" s="11">
        <v>40630</v>
      </c>
      <c r="K21" s="11">
        <v>56115</v>
      </c>
      <c r="L21" s="11" t="s">
        <v>1394</v>
      </c>
      <c r="M21" s="11" t="s">
        <v>2425</v>
      </c>
    </row>
    <row r="22" spans="1:13">
      <c r="A22" s="34" t="s">
        <v>2302</v>
      </c>
      <c r="B22" s="4">
        <v>89005</v>
      </c>
      <c r="C22" s="27" t="s">
        <v>1367</v>
      </c>
      <c r="D22" s="27" t="s">
        <v>84</v>
      </c>
      <c r="E22" s="28" t="s">
        <v>2301</v>
      </c>
      <c r="F22" s="25" t="str">
        <f>HYPERLINK("https://stat100.ameba.jp/tnk47/ratio20/illustrations/card/ill_89005_yambarukuina05.jpg", "■")</f>
        <v>■</v>
      </c>
      <c r="G22" s="4" t="s">
        <v>2304</v>
      </c>
      <c r="H22" s="29" t="s">
        <v>1354</v>
      </c>
      <c r="I22" s="27">
        <v>9</v>
      </c>
      <c r="J22" s="27">
        <v>47192</v>
      </c>
      <c r="K22" s="27">
        <v>34167</v>
      </c>
      <c r="L22" s="27" t="s">
        <v>1499</v>
      </c>
      <c r="M22" s="27" t="s">
        <v>2303</v>
      </c>
    </row>
    <row r="23" spans="1:13">
      <c r="A23" s="34" t="s">
        <v>2313</v>
      </c>
      <c r="B23" s="34">
        <v>89635</v>
      </c>
      <c r="C23" s="4" t="s">
        <v>2317</v>
      </c>
      <c r="D23" s="34" t="s">
        <v>63</v>
      </c>
      <c r="E23" s="28" t="s">
        <v>2314</v>
      </c>
      <c r="F23" s="25" t="str">
        <f>HYPERLINK("https://stat100.ameba.jp/tnk47/ratio20/illustrations/card/ill_89635_tensonkourin05.jpg", "■")</f>
        <v>■</v>
      </c>
      <c r="G23" s="34" t="s">
        <v>2315</v>
      </c>
      <c r="H23" s="59" t="s">
        <v>1354</v>
      </c>
      <c r="I23" s="34">
        <v>9</v>
      </c>
      <c r="J23" s="34">
        <v>30637</v>
      </c>
      <c r="K23" s="34">
        <v>42317</v>
      </c>
      <c r="L23" s="34" t="s">
        <v>2316</v>
      </c>
      <c r="M23" s="34" t="s">
        <v>2426</v>
      </c>
    </row>
    <row r="24" spans="1:13">
      <c r="A24" s="39" t="s">
        <v>2398</v>
      </c>
      <c r="B24" s="4">
        <v>90325</v>
      </c>
      <c r="C24" s="39" t="s">
        <v>1351</v>
      </c>
      <c r="D24" s="4" t="s">
        <v>2403</v>
      </c>
      <c r="E24" s="4" t="s">
        <v>2402</v>
      </c>
      <c r="F24" s="25" t="str">
        <f>HYPERLINK("https://stat100.ameba.jp/tnk47/ratio20/illustrations/card/ill_90325_yokosukakaigunkare05.jpg", "■")</f>
        <v>■</v>
      </c>
      <c r="G24" s="4" t="s">
        <v>2408</v>
      </c>
      <c r="H24" s="65" t="s">
        <v>1354</v>
      </c>
      <c r="I24" s="39">
        <v>9</v>
      </c>
      <c r="J24" s="4">
        <v>48998</v>
      </c>
      <c r="K24" s="4">
        <v>35482</v>
      </c>
      <c r="L24" s="4" t="s">
        <v>2401</v>
      </c>
      <c r="M24" s="4" t="s">
        <v>2400</v>
      </c>
    </row>
    <row r="25" spans="1:13">
      <c r="A25" s="39" t="s">
        <v>2399</v>
      </c>
      <c r="B25" s="4">
        <v>91005</v>
      </c>
      <c r="C25" s="39" t="s">
        <v>1441</v>
      </c>
      <c r="D25" s="4" t="s">
        <v>2406</v>
      </c>
      <c r="E25" s="4" t="s">
        <v>2405</v>
      </c>
      <c r="F25" s="25" t="str">
        <f>HYPERLINK("https://stat100.ameba.jp/tnk47/ratio20/illustrations/card/ill_91005_shiroiruka05.jpg", "■")</f>
        <v>■</v>
      </c>
      <c r="G25" s="4" t="s">
        <v>2407</v>
      </c>
      <c r="H25" s="65" t="s">
        <v>1354</v>
      </c>
      <c r="I25" s="39">
        <v>13</v>
      </c>
      <c r="J25" s="4">
        <v>49353</v>
      </c>
      <c r="K25" s="4">
        <v>68167</v>
      </c>
      <c r="L25" s="4" t="s">
        <v>2404</v>
      </c>
      <c r="M25" s="4" t="s">
        <v>2427</v>
      </c>
    </row>
    <row r="26" spans="1:13">
      <c r="A26" s="51" t="s">
        <v>2615</v>
      </c>
      <c r="B26" s="41">
        <v>91635</v>
      </c>
      <c r="C26" s="41" t="s">
        <v>2317</v>
      </c>
      <c r="D26" s="41" t="s">
        <v>196</v>
      </c>
      <c r="E26" s="28" t="s">
        <v>2480</v>
      </c>
      <c r="F26" s="25" t="str">
        <f>HYPERLINK("https://stat100.ameba.jp/tnk47/ratio20/illustrations/card/ill_91635_yochoyosuzume05.jpg", "■")</f>
        <v>■</v>
      </c>
      <c r="G26" s="41" t="s">
        <v>2479</v>
      </c>
      <c r="H26" s="76" t="s">
        <v>1354</v>
      </c>
      <c r="I26" s="41">
        <v>13</v>
      </c>
      <c r="J26" s="41">
        <v>41013</v>
      </c>
      <c r="K26" s="41">
        <v>56636</v>
      </c>
      <c r="L26" s="41" t="s">
        <v>2478</v>
      </c>
      <c r="M26" s="41" t="s">
        <v>2818</v>
      </c>
    </row>
    <row r="27" spans="1:13">
      <c r="A27" s="51" t="s">
        <v>2616</v>
      </c>
      <c r="B27" s="4">
        <v>92335</v>
      </c>
      <c r="C27" s="51" t="s">
        <v>1441</v>
      </c>
      <c r="D27" s="51" t="s">
        <v>43</v>
      </c>
      <c r="E27" s="28" t="s">
        <v>2618</v>
      </c>
      <c r="F27" s="25" t="str">
        <f>HYPERLINK("https://stat100.ameba.jp/tnk47/ratio20/illustrations/card/ill_92335_kijutsu05.jpg", "■")</f>
        <v>■</v>
      </c>
      <c r="G27" s="51" t="s">
        <v>2617</v>
      </c>
      <c r="H27" s="82" t="s">
        <v>1354</v>
      </c>
      <c r="I27" s="51">
        <v>13</v>
      </c>
      <c r="J27" s="51">
        <v>68336</v>
      </c>
      <c r="K27" s="51">
        <v>49477</v>
      </c>
      <c r="L27" s="51" t="s">
        <v>2619</v>
      </c>
      <c r="M27" s="51" t="s">
        <v>2819</v>
      </c>
    </row>
    <row r="28" spans="1:13">
      <c r="A28" s="56" t="s">
        <v>2658</v>
      </c>
      <c r="B28" s="4">
        <v>93615</v>
      </c>
      <c r="C28" s="56" t="s">
        <v>1351</v>
      </c>
      <c r="D28" s="56" t="s">
        <v>53</v>
      </c>
      <c r="E28" s="4" t="s">
        <v>2659</v>
      </c>
      <c r="F28" s="25" t="str">
        <f>HYPERLINK("https://stat100.ameba.jp/tnk47/ratio20/illustrations/card/ill_93615_nekogami05.jpg", "■")</f>
        <v>■</v>
      </c>
      <c r="G28" s="4" t="s">
        <v>2661</v>
      </c>
      <c r="H28" s="57" t="s">
        <v>1354</v>
      </c>
      <c r="I28" s="56">
        <v>13</v>
      </c>
      <c r="J28" s="4">
        <v>56636</v>
      </c>
      <c r="K28" s="4">
        <v>41013</v>
      </c>
      <c r="L28" s="4" t="s">
        <v>2660</v>
      </c>
      <c r="M28" s="4" t="s">
        <v>2820</v>
      </c>
    </row>
    <row r="29" spans="1:13">
      <c r="A29" s="60" t="s">
        <v>2689</v>
      </c>
      <c r="B29" s="4">
        <v>94225</v>
      </c>
      <c r="C29" s="60" t="s">
        <v>2317</v>
      </c>
      <c r="D29" s="60" t="s">
        <v>79</v>
      </c>
      <c r="E29" s="4" t="s">
        <v>2690</v>
      </c>
      <c r="F29" s="25" t="str">
        <f>HYPERLINK("https://stat100.ameba.jp/tnk47/ratio20/illustrations/card/ill_94225_sesshu05.jpg", "■")</f>
        <v>■</v>
      </c>
      <c r="G29" s="4" t="s">
        <v>2741</v>
      </c>
      <c r="H29" s="60" t="s">
        <v>1354</v>
      </c>
      <c r="I29" s="60">
        <v>13</v>
      </c>
      <c r="J29" s="4">
        <v>60766</v>
      </c>
      <c r="K29" s="4">
        <v>43998</v>
      </c>
      <c r="L29" s="4" t="s">
        <v>2740</v>
      </c>
      <c r="M29" s="4" t="s">
        <v>2432</v>
      </c>
    </row>
    <row r="31" spans="1:13">
      <c r="A31" s="66" t="s">
        <v>2691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>
      <c r="A32" s="66" t="s">
        <v>1350</v>
      </c>
      <c r="B32" s="66">
        <v>94915</v>
      </c>
      <c r="C32" s="66" t="s">
        <v>1367</v>
      </c>
      <c r="D32" s="66" t="s">
        <v>33</v>
      </c>
      <c r="E32" s="28" t="s">
        <v>2737</v>
      </c>
      <c r="F32" s="25" t="str">
        <f>HYPERLINK("https://stat100.ameba.jp/tnk47/ratio20/illustrations/card/ill_94915_himetemari05.jpg", "■")</f>
        <v>■</v>
      </c>
      <c r="G32" s="66" t="s">
        <v>2738</v>
      </c>
      <c r="H32" s="66" t="s">
        <v>1354</v>
      </c>
      <c r="I32" s="66">
        <v>15</v>
      </c>
      <c r="J32" s="66">
        <v>78654</v>
      </c>
      <c r="K32" s="66">
        <v>56945</v>
      </c>
      <c r="L32" s="66" t="s">
        <v>2739</v>
      </c>
      <c r="M32" s="66" t="s">
        <v>2821</v>
      </c>
    </row>
    <row r="33" spans="1:13">
      <c r="A33" s="68" t="s">
        <v>1356</v>
      </c>
      <c r="B33" s="68">
        <v>95585</v>
      </c>
      <c r="C33" s="68" t="s">
        <v>2746</v>
      </c>
      <c r="D33" s="68" t="s">
        <v>68</v>
      </c>
      <c r="E33" s="28" t="s">
        <v>2745</v>
      </c>
      <c r="F33" s="25" t="str">
        <f>HYPERLINK("https://stat100.ameba.jp/tnk47/ratio20/illustrations/card/ill_95585_hojohomarehime05.jpg", "■")</f>
        <v>■</v>
      </c>
      <c r="G33" s="70" t="s">
        <v>2744</v>
      </c>
      <c r="H33" s="83" t="s">
        <v>1354</v>
      </c>
      <c r="I33" s="4">
        <v>15</v>
      </c>
      <c r="J33" s="4">
        <v>48889</v>
      </c>
      <c r="K33" s="4">
        <v>67525</v>
      </c>
      <c r="L33" s="68" t="s">
        <v>2743</v>
      </c>
      <c r="M33" s="68" t="s">
        <v>2215</v>
      </c>
    </row>
    <row r="34" spans="1:13">
      <c r="A34" s="81" t="s">
        <v>1362</v>
      </c>
      <c r="B34" s="81">
        <v>96305</v>
      </c>
      <c r="C34" s="81" t="s">
        <v>2803</v>
      </c>
      <c r="D34" s="81" t="s">
        <v>68</v>
      </c>
      <c r="E34" s="28" t="s">
        <v>2801</v>
      </c>
      <c r="F34" s="25" t="str">
        <f>HYPERLINK("https://stat100.ameba.jp/tnk47/ratio20/illustrations/card/ill_96305_madenokojinotsubone05.jpg", "■")</f>
        <v>■</v>
      </c>
      <c r="G34" s="81" t="s">
        <v>2802</v>
      </c>
      <c r="H34" s="84" t="s">
        <v>1354</v>
      </c>
      <c r="I34" s="81">
        <v>15</v>
      </c>
      <c r="J34" s="81">
        <v>67525</v>
      </c>
      <c r="K34" s="81">
        <v>48889</v>
      </c>
      <c r="L34" s="81" t="s">
        <v>2800</v>
      </c>
      <c r="M34" s="81" t="s">
        <v>1828</v>
      </c>
    </row>
    <row r="35" spans="1:13">
      <c r="A35" s="84" t="s">
        <v>2258</v>
      </c>
      <c r="B35" s="84">
        <v>96945</v>
      </c>
      <c r="C35" s="84" t="s">
        <v>2317</v>
      </c>
      <c r="D35" s="84" t="s">
        <v>84</v>
      </c>
      <c r="E35" s="28" t="s">
        <v>2806</v>
      </c>
      <c r="F35" s="25" t="str">
        <f>HYPERLINK("https://stat100.ameba.jp/tnk47/ratio20/illustrations/card/ill_96945_hyakkaryoran05.jpg", "■")</f>
        <v>■</v>
      </c>
      <c r="G35" s="84" t="s">
        <v>2807</v>
      </c>
      <c r="H35" s="84" t="s">
        <v>1354</v>
      </c>
      <c r="I35" s="84">
        <v>15</v>
      </c>
      <c r="J35" s="84">
        <v>56945</v>
      </c>
      <c r="K35" s="84">
        <v>78654</v>
      </c>
      <c r="L35" s="84" t="s">
        <v>2804</v>
      </c>
      <c r="M35" s="84" t="s">
        <v>2805</v>
      </c>
    </row>
    <row r="36" spans="1:13">
      <c r="A36" s="85" t="s">
        <v>1372</v>
      </c>
      <c r="B36" s="85">
        <v>97635</v>
      </c>
      <c r="C36" s="85" t="s">
        <v>2809</v>
      </c>
      <c r="D36" s="85" t="s">
        <v>132</v>
      </c>
      <c r="E36" s="28" t="s">
        <v>2808</v>
      </c>
      <c r="F36" s="25" t="str">
        <f>HYPERLINK("https://stat100.ameba.jp/tnk47/ratio20/illustrations/card/ill_97635_hanasakamusume05.jpg", "■")</f>
        <v>■</v>
      </c>
      <c r="G36" s="4" t="s">
        <v>2810</v>
      </c>
      <c r="H36" s="98" t="s">
        <v>1354</v>
      </c>
      <c r="I36" s="85">
        <v>15</v>
      </c>
      <c r="J36" s="85">
        <v>57088</v>
      </c>
      <c r="K36" s="85">
        <v>78850</v>
      </c>
      <c r="L36" s="85" t="s">
        <v>1473</v>
      </c>
      <c r="M36" s="85" t="s">
        <v>2822</v>
      </c>
    </row>
    <row r="37" spans="1:13">
      <c r="A37" s="86" t="s">
        <v>2313</v>
      </c>
      <c r="B37" s="86">
        <v>98325</v>
      </c>
      <c r="C37" s="86" t="s">
        <v>2811</v>
      </c>
      <c r="D37" s="86" t="s">
        <v>101</v>
      </c>
      <c r="E37" s="28" t="s">
        <v>2812</v>
      </c>
      <c r="F37" s="25" t="str">
        <f>HYPERLINK("https://stat100.ameba.jp/tnk47/ratio20/illustrations/card/ill_98325_chosokabekunichika05.jpg", "■")</f>
        <v>■</v>
      </c>
      <c r="G37" s="86" t="s">
        <v>2813</v>
      </c>
      <c r="H37" s="97" t="s">
        <v>1354</v>
      </c>
      <c r="I37" s="86">
        <v>15</v>
      </c>
      <c r="J37" s="86">
        <v>102783</v>
      </c>
      <c r="K37" s="86">
        <v>74422</v>
      </c>
      <c r="L37" s="86" t="s">
        <v>2814</v>
      </c>
      <c r="M37" s="86" t="s">
        <v>1850</v>
      </c>
    </row>
    <row r="38" spans="1:13">
      <c r="A38" s="86" t="s">
        <v>1382</v>
      </c>
      <c r="B38" s="86">
        <v>98965</v>
      </c>
      <c r="C38" s="86" t="s">
        <v>2809</v>
      </c>
      <c r="D38" s="86" t="s">
        <v>89</v>
      </c>
      <c r="E38" s="28" t="s">
        <v>2815</v>
      </c>
      <c r="F38" s="25" t="str">
        <f>HYPERLINK("https://stat100.ameba.jp/tnk47/ratio20/illustrations/card/ill_98965_waishatsuononokomachi05.jpg", "■")</f>
        <v>■</v>
      </c>
      <c r="G38" s="70" t="s">
        <v>2816</v>
      </c>
      <c r="H38" s="88" t="s">
        <v>1354</v>
      </c>
      <c r="I38" s="86">
        <v>15</v>
      </c>
      <c r="J38" s="86">
        <v>70894</v>
      </c>
      <c r="K38" s="86">
        <v>51321</v>
      </c>
      <c r="L38" s="86" t="s">
        <v>1924</v>
      </c>
      <c r="M38" s="86" t="s">
        <v>1845</v>
      </c>
    </row>
    <row r="39" spans="1:13">
      <c r="A39" s="97" t="s">
        <v>2399</v>
      </c>
      <c r="B39" s="97">
        <v>99655</v>
      </c>
      <c r="C39" s="97" t="s">
        <v>2811</v>
      </c>
      <c r="D39" s="97" t="s">
        <v>196</v>
      </c>
      <c r="E39" s="28" t="s">
        <v>2895</v>
      </c>
      <c r="F39" s="25" t="str">
        <f>HYPERLINK("https://stat100.ameba.jp/tnk47/ratio20/illustrations/card/ill_99655_kinnokaminohi05.jpg", "■")</f>
        <v>■</v>
      </c>
      <c r="G39" s="97" t="s">
        <v>2896</v>
      </c>
      <c r="H39" s="100" t="s">
        <v>1354</v>
      </c>
      <c r="I39" s="97">
        <v>15</v>
      </c>
      <c r="J39" s="97">
        <v>51061</v>
      </c>
      <c r="K39" s="97">
        <v>70529</v>
      </c>
      <c r="L39" s="97" t="s">
        <v>2894</v>
      </c>
      <c r="M39" s="97" t="s">
        <v>3130</v>
      </c>
    </row>
    <row r="40" spans="1:13">
      <c r="A40" s="104" t="s">
        <v>1391</v>
      </c>
      <c r="B40" s="4">
        <v>200295</v>
      </c>
      <c r="C40" s="104" t="s">
        <v>2809</v>
      </c>
      <c r="D40" s="104" t="s">
        <v>68</v>
      </c>
      <c r="E40" s="28" t="s">
        <v>2914</v>
      </c>
      <c r="F40" s="25" t="str">
        <f>HYPERLINK("https://stat100.ameba.jp/tnk47/ratio20/illustrations/card/ill_200295_madamubatafurai05.jpg", "■")</f>
        <v>■</v>
      </c>
      <c r="G40" s="107" t="s">
        <v>2940</v>
      </c>
      <c r="H40" s="127" t="s">
        <v>1354</v>
      </c>
      <c r="I40" s="104">
        <v>17</v>
      </c>
      <c r="J40" s="104">
        <v>76528</v>
      </c>
      <c r="K40" s="104">
        <v>55408</v>
      </c>
      <c r="L40" s="104" t="s">
        <v>2915</v>
      </c>
      <c r="M40" s="104" t="s">
        <v>1828</v>
      </c>
    </row>
    <row r="41" spans="1:13">
      <c r="A41" s="107" t="s">
        <v>2616</v>
      </c>
      <c r="B41" s="107">
        <v>200965</v>
      </c>
      <c r="C41" s="107" t="s">
        <v>2317</v>
      </c>
      <c r="D41" s="107" t="s">
        <v>107</v>
      </c>
      <c r="E41" s="28" t="s">
        <v>2938</v>
      </c>
      <c r="F41" s="25" t="str">
        <f>HYPERLINK("https://stat100.ameba.jp/tnk47/ratio20/illustrations/card/ill_200965_saroinsutekichan05.jpg", "■")</f>
        <v>■</v>
      </c>
      <c r="G41" s="107" t="s">
        <v>2939</v>
      </c>
      <c r="H41" s="133" t="s">
        <v>1354</v>
      </c>
      <c r="I41" s="107">
        <v>17</v>
      </c>
      <c r="J41" s="107">
        <v>67023</v>
      </c>
      <c r="K41" s="107">
        <v>92553</v>
      </c>
      <c r="L41" s="107" t="s">
        <v>2136</v>
      </c>
      <c r="M41" s="107" t="s">
        <v>3131</v>
      </c>
    </row>
    <row r="42" spans="1:13">
      <c r="A42" s="110" t="s">
        <v>1401</v>
      </c>
      <c r="B42" s="110">
        <v>201595</v>
      </c>
      <c r="C42" s="110" t="s">
        <v>2811</v>
      </c>
      <c r="D42" s="110" t="s">
        <v>132</v>
      </c>
      <c r="E42" s="28" t="s">
        <v>3026</v>
      </c>
      <c r="F42" s="25" t="str">
        <f>HYPERLINK("https://stat100.ameba.jp/tnk47/ratio20/illustrations/card/ill_201595_kimononohikaguya05.jpg", "■")</f>
        <v>■</v>
      </c>
      <c r="G42" s="110" t="s">
        <v>3027</v>
      </c>
      <c r="H42" s="135" t="s">
        <v>1354</v>
      </c>
      <c r="I42" s="110">
        <v>17</v>
      </c>
      <c r="J42" s="110">
        <v>89363</v>
      </c>
      <c r="K42" s="110">
        <v>64700</v>
      </c>
      <c r="L42" s="110" t="s">
        <v>2059</v>
      </c>
      <c r="M42" s="110" t="s">
        <v>3132</v>
      </c>
    </row>
    <row r="43" spans="1:13">
      <c r="A43" s="115" t="s">
        <v>2689</v>
      </c>
      <c r="B43" s="115">
        <v>202235</v>
      </c>
      <c r="C43" s="115" t="s">
        <v>2811</v>
      </c>
      <c r="D43" s="115" t="s">
        <v>79</v>
      </c>
      <c r="E43" s="28" t="s">
        <v>3037</v>
      </c>
      <c r="F43" s="25" t="str">
        <f>HYPERLINK("https://stat100.ameba.jp/tnk47/ratio20/illustrations/card/ill_202235_nijiironomajutsushitencha05.jpg", "■")</f>
        <v>■</v>
      </c>
      <c r="G43" s="115" t="s">
        <v>3039</v>
      </c>
      <c r="H43" s="115" t="s">
        <v>595</v>
      </c>
      <c r="I43" s="115">
        <v>17</v>
      </c>
      <c r="J43" s="115">
        <v>57536</v>
      </c>
      <c r="K43" s="115">
        <v>79463</v>
      </c>
      <c r="L43" s="115" t="s">
        <v>3038</v>
      </c>
      <c r="M43" s="115" t="s">
        <v>1795</v>
      </c>
    </row>
    <row r="45" spans="1:13">
      <c r="A45" s="118" t="s">
        <v>3056</v>
      </c>
    </row>
    <row r="46" spans="1:13">
      <c r="A46" s="118" t="s">
        <v>1350</v>
      </c>
      <c r="B46" s="118">
        <v>202915</v>
      </c>
      <c r="C46" s="118" t="s">
        <v>2809</v>
      </c>
      <c r="D46" s="118" t="s">
        <v>63</v>
      </c>
      <c r="E46" s="28" t="s">
        <v>3055</v>
      </c>
      <c r="F46" s="25" t="str">
        <f>HYPERLINK("https://stat100.ameba.jp/tnk47/ratio20/illustrations/card/ill_202915_amenofuyukinunokami05.jpg", "■")</f>
        <v>■</v>
      </c>
      <c r="G46" s="118" t="s">
        <v>3057</v>
      </c>
      <c r="H46" s="118" t="s">
        <v>595</v>
      </c>
      <c r="I46" s="118">
        <v>18</v>
      </c>
      <c r="J46" s="118">
        <v>61274</v>
      </c>
      <c r="K46" s="118">
        <v>84635</v>
      </c>
      <c r="L46" s="118" t="s">
        <v>1856</v>
      </c>
      <c r="M46" s="118" t="s">
        <v>3133</v>
      </c>
    </row>
    <row r="47" spans="1:13">
      <c r="A47" s="122" t="s">
        <v>1356</v>
      </c>
      <c r="B47" s="122">
        <v>203685</v>
      </c>
      <c r="C47" s="122" t="s">
        <v>2811</v>
      </c>
      <c r="D47" s="122" t="s">
        <v>107</v>
      </c>
      <c r="E47" s="28" t="s">
        <v>3069</v>
      </c>
      <c r="F47" s="25" t="str">
        <f>HYPERLINK("https://stat100.ameba.jp/tnk47/ratio20/illustrations/card/ill_203685_katsuonotataki05.jpg", "■")</f>
        <v>■</v>
      </c>
      <c r="G47" s="4" t="s">
        <v>3070</v>
      </c>
      <c r="H47" s="122" t="s">
        <v>595</v>
      </c>
      <c r="I47" s="122">
        <v>18</v>
      </c>
      <c r="J47" s="122">
        <v>97997</v>
      </c>
      <c r="K47" s="122">
        <v>70965</v>
      </c>
      <c r="L47" s="122" t="s">
        <v>1484</v>
      </c>
      <c r="M47" s="122" t="s">
        <v>3134</v>
      </c>
    </row>
    <row r="48" spans="1:13">
      <c r="A48" s="126" t="s">
        <v>1362</v>
      </c>
      <c r="B48" s="4">
        <v>204385</v>
      </c>
      <c r="C48" s="126" t="s">
        <v>2809</v>
      </c>
      <c r="D48" s="4" t="s">
        <v>101</v>
      </c>
      <c r="E48" s="4" t="s">
        <v>3126</v>
      </c>
      <c r="F48" s="25" t="str">
        <f>HYPERLINK("https://stat100.ameba.jp/tnk47/ratio20/illustrations/card/ill_204385_waishatsuakaiteruko05.jpg", "■")</f>
        <v>■</v>
      </c>
      <c r="G48" s="4" t="s">
        <v>3127</v>
      </c>
      <c r="H48" s="126" t="s">
        <v>595</v>
      </c>
      <c r="I48" s="126">
        <v>18</v>
      </c>
      <c r="J48" s="4">
        <v>68335</v>
      </c>
      <c r="K48" s="4">
        <v>94385</v>
      </c>
      <c r="L48" s="4" t="s">
        <v>1918</v>
      </c>
      <c r="M48" s="4" t="s">
        <v>3135</v>
      </c>
    </row>
  </sheetData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F06A-D4E6-4B05-B7A3-0370BC7E36EF}">
  <dimension ref="A1:AD224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10.4140625" style="4" customWidth="1"/>
    <col min="2" max="2" width="7.5" style="4" customWidth="1"/>
    <col min="3" max="3" width="10.58203125" style="4" customWidth="1"/>
    <col min="4" max="4" width="5.58203125" style="4" customWidth="1"/>
    <col min="5" max="5" width="30.9140625" style="4" customWidth="1"/>
    <col min="6" max="6" width="3.75" style="4" customWidth="1"/>
    <col min="7" max="7" width="30.75" style="4" hidden="1" customWidth="1"/>
    <col min="8" max="20" width="5.75" style="4" hidden="1" customWidth="1"/>
    <col min="21" max="22" width="20.75" style="4" hidden="1" customWidth="1"/>
    <col min="23" max="23" width="6.6640625" style="4" customWidth="1"/>
    <col min="24" max="24" width="4.75" style="4" customWidth="1"/>
    <col min="25" max="26" width="7.33203125" style="4" customWidth="1"/>
    <col min="27" max="27" width="13.6640625" style="4" customWidth="1"/>
    <col min="28" max="28" width="71" style="4" customWidth="1"/>
    <col min="29" max="16384" width="8.9140625" style="4"/>
  </cols>
  <sheetData>
    <row r="1" spans="1:28">
      <c r="A1" s="1" t="s">
        <v>0</v>
      </c>
      <c r="B1" s="1" t="s">
        <v>586</v>
      </c>
      <c r="C1" s="1" t="s">
        <v>1343</v>
      </c>
      <c r="D1" s="1" t="s">
        <v>1344</v>
      </c>
      <c r="E1" s="1" t="s">
        <v>1345</v>
      </c>
      <c r="F1" s="1" t="s">
        <v>5</v>
      </c>
      <c r="G1" s="1" t="s">
        <v>1346</v>
      </c>
      <c r="H1" s="1">
        <v>10</v>
      </c>
      <c r="I1" s="1">
        <v>11</v>
      </c>
      <c r="J1" s="1">
        <v>12</v>
      </c>
      <c r="K1" s="1">
        <v>13</v>
      </c>
      <c r="L1" s="1">
        <v>14</v>
      </c>
      <c r="M1" s="1">
        <v>15</v>
      </c>
      <c r="N1" s="1">
        <v>16</v>
      </c>
      <c r="O1" s="1">
        <v>17</v>
      </c>
      <c r="P1" s="1">
        <v>18</v>
      </c>
      <c r="Q1" s="1">
        <v>19</v>
      </c>
      <c r="R1" s="1">
        <v>20</v>
      </c>
      <c r="S1" s="1">
        <v>21</v>
      </c>
      <c r="T1" s="1">
        <v>22</v>
      </c>
      <c r="U1" s="1" t="s">
        <v>543</v>
      </c>
      <c r="V1" s="1" t="s">
        <v>1424</v>
      </c>
      <c r="W1" s="1" t="s">
        <v>1347</v>
      </c>
      <c r="X1" s="1" t="s">
        <v>7</v>
      </c>
      <c r="Y1" s="1" t="s">
        <v>544</v>
      </c>
      <c r="Z1" s="1" t="s">
        <v>545</v>
      </c>
      <c r="AA1" s="1" t="s">
        <v>1348</v>
      </c>
      <c r="AB1" s="1" t="s">
        <v>11</v>
      </c>
    </row>
    <row r="3" spans="1:28">
      <c r="A3" s="4" t="s">
        <v>1425</v>
      </c>
    </row>
    <row r="4" spans="1:28">
      <c r="A4" s="4" t="s">
        <v>1426</v>
      </c>
      <c r="B4" s="4">
        <v>48405</v>
      </c>
      <c r="C4" s="4" t="s">
        <v>1357</v>
      </c>
      <c r="D4" s="4" t="s">
        <v>267</v>
      </c>
      <c r="E4" s="5" t="s">
        <v>1427</v>
      </c>
      <c r="F4" s="6" t="str">
        <f>HYPERLINK("https://stat100.ameba.jp/tnk47/ratio20/illustrations/card/ill_48405_ashura05.jpg", "■")</f>
        <v>■</v>
      </c>
      <c r="G4" s="4" t="s">
        <v>1428</v>
      </c>
      <c r="H4"/>
      <c r="I4"/>
      <c r="J4"/>
      <c r="K4"/>
      <c r="L4"/>
      <c r="M4"/>
      <c r="N4"/>
      <c r="O4"/>
      <c r="P4"/>
      <c r="Q4"/>
      <c r="R4"/>
      <c r="S4"/>
      <c r="T4"/>
      <c r="U4" t="s">
        <v>1429</v>
      </c>
      <c r="V4" t="s">
        <v>1430</v>
      </c>
      <c r="W4" s="4" t="s">
        <v>1093</v>
      </c>
      <c r="X4" s="4" t="s">
        <v>522</v>
      </c>
      <c r="Y4" s="4" t="s">
        <v>522</v>
      </c>
      <c r="Z4" s="4" t="s">
        <v>522</v>
      </c>
      <c r="AA4" s="4" t="s">
        <v>1431</v>
      </c>
      <c r="AB4" s="10" t="s">
        <v>1432</v>
      </c>
    </row>
    <row r="5" spans="1:28">
      <c r="A5" s="4" t="s">
        <v>1433</v>
      </c>
      <c r="B5" s="4">
        <v>48565</v>
      </c>
      <c r="C5" s="4" t="s">
        <v>1434</v>
      </c>
      <c r="D5" s="4" t="s">
        <v>1435</v>
      </c>
      <c r="E5" s="5" t="s">
        <v>1436</v>
      </c>
      <c r="F5" s="6" t="str">
        <f>HYPERLINK("https://stat100.ameba.jp/tnk47/ratio20/illustrations/card/ill_48565_shienakagishigeru05.jpg", "■")</f>
        <v>■</v>
      </c>
      <c r="G5" s="4" t="s">
        <v>1437</v>
      </c>
      <c r="H5"/>
      <c r="I5"/>
      <c r="J5"/>
      <c r="K5"/>
      <c r="L5"/>
      <c r="M5"/>
      <c r="N5"/>
      <c r="O5"/>
      <c r="P5"/>
      <c r="Q5"/>
      <c r="R5"/>
      <c r="S5"/>
      <c r="T5"/>
      <c r="U5" t="s">
        <v>1429</v>
      </c>
      <c r="V5" t="s">
        <v>1429</v>
      </c>
      <c r="W5" s="4" t="s">
        <v>1093</v>
      </c>
      <c r="X5" s="4" t="s">
        <v>522</v>
      </c>
      <c r="Y5" s="4" t="s">
        <v>522</v>
      </c>
      <c r="Z5" s="4" t="s">
        <v>522</v>
      </c>
      <c r="AA5" s="4" t="s">
        <v>1438</v>
      </c>
      <c r="AB5" s="4" t="s">
        <v>1439</v>
      </c>
    </row>
    <row r="6" spans="1:28">
      <c r="A6" s="4" t="s">
        <v>1440</v>
      </c>
      <c r="B6" s="4">
        <v>49355</v>
      </c>
      <c r="C6" s="4" t="s">
        <v>1441</v>
      </c>
      <c r="D6" s="4" t="s">
        <v>242</v>
      </c>
      <c r="E6" s="5" t="s">
        <v>1442</v>
      </c>
      <c r="F6" s="6" t="str">
        <f>HYPERLINK("https://stat100.ameba.jp/tnk47/ratio20/illustrations/card/ill_49355_choujyuugiga05.jpg", "■")</f>
        <v>■</v>
      </c>
      <c r="G6" s="4" t="s">
        <v>1443</v>
      </c>
      <c r="H6"/>
      <c r="I6"/>
      <c r="J6"/>
      <c r="K6"/>
      <c r="L6"/>
      <c r="M6"/>
      <c r="N6"/>
      <c r="O6"/>
      <c r="P6"/>
      <c r="Q6"/>
      <c r="R6"/>
      <c r="S6"/>
      <c r="T6"/>
      <c r="U6" t="s">
        <v>1444</v>
      </c>
      <c r="V6" t="s">
        <v>1429</v>
      </c>
      <c r="W6" s="4" t="s">
        <v>1354</v>
      </c>
      <c r="X6" s="4">
        <v>21</v>
      </c>
      <c r="Y6" s="4">
        <v>94798</v>
      </c>
      <c r="Z6" s="4">
        <v>72619</v>
      </c>
      <c r="AA6" s="4" t="s">
        <v>1445</v>
      </c>
      <c r="AB6" s="4" t="s">
        <v>1446</v>
      </c>
    </row>
    <row r="7" spans="1:28">
      <c r="A7" s="4" t="s">
        <v>1447</v>
      </c>
      <c r="B7" s="4">
        <v>48415</v>
      </c>
      <c r="C7" s="4" t="s">
        <v>1448</v>
      </c>
      <c r="D7" s="4" t="s">
        <v>330</v>
      </c>
      <c r="E7" s="5" t="s">
        <v>1449</v>
      </c>
      <c r="F7" s="6" t="str">
        <f>HYPERLINK("https://stat100.ameba.jp/tnk47/ratio20/illustrations/card/ill_48415_kourinkoujokazunomiya05.jpg", "■")</f>
        <v>■</v>
      </c>
      <c r="G7" s="4" t="s">
        <v>1450</v>
      </c>
      <c r="H7"/>
      <c r="I7"/>
      <c r="J7"/>
      <c r="K7"/>
      <c r="L7"/>
      <c r="M7"/>
      <c r="N7"/>
      <c r="O7"/>
      <c r="P7"/>
      <c r="Q7"/>
      <c r="R7"/>
      <c r="S7"/>
      <c r="T7"/>
      <c r="U7" t="s">
        <v>1429</v>
      </c>
      <c r="V7" t="s">
        <v>1429</v>
      </c>
      <c r="W7" s="4" t="s">
        <v>1093</v>
      </c>
      <c r="X7" s="4" t="s">
        <v>522</v>
      </c>
      <c r="Y7" s="4" t="s">
        <v>522</v>
      </c>
      <c r="Z7" s="4" t="s">
        <v>522</v>
      </c>
      <c r="AA7" s="4" t="s">
        <v>1451</v>
      </c>
      <c r="AB7" s="4" t="s">
        <v>1452</v>
      </c>
    </row>
    <row r="8" spans="1:28">
      <c r="A8" s="4" t="s">
        <v>1453</v>
      </c>
      <c r="B8" s="4">
        <v>47715</v>
      </c>
      <c r="C8" s="4" t="s">
        <v>1448</v>
      </c>
      <c r="D8" s="4" t="s">
        <v>272</v>
      </c>
      <c r="E8" s="5" t="s">
        <v>1454</v>
      </c>
      <c r="F8" s="6" t="str">
        <f>HYPERLINK("https://stat100.ameba.jp/tnk47/ratio20/illustrations/card/ill_47715_tokugawatunayoshi05.jpg", "■")</f>
        <v>■</v>
      </c>
      <c r="G8" s="4" t="s">
        <v>1455</v>
      </c>
      <c r="H8"/>
      <c r="I8"/>
      <c r="J8"/>
      <c r="K8"/>
      <c r="L8"/>
      <c r="M8"/>
      <c r="N8"/>
      <c r="O8"/>
      <c r="P8"/>
      <c r="Q8"/>
      <c r="R8"/>
      <c r="S8"/>
      <c r="T8"/>
      <c r="U8" t="s">
        <v>1456</v>
      </c>
      <c r="V8" t="s">
        <v>1429</v>
      </c>
      <c r="W8" s="4" t="s">
        <v>1354</v>
      </c>
      <c r="X8" s="4">
        <v>21</v>
      </c>
      <c r="Y8" s="4">
        <v>72619</v>
      </c>
      <c r="Z8" s="4">
        <v>94798</v>
      </c>
      <c r="AA8" s="4" t="s">
        <v>1457</v>
      </c>
      <c r="AB8" s="4" t="s">
        <v>2192</v>
      </c>
    </row>
    <row r="9" spans="1:28">
      <c r="A9" s="4" t="s">
        <v>1458</v>
      </c>
      <c r="B9" s="4">
        <v>49345</v>
      </c>
      <c r="C9" s="4" t="s">
        <v>1351</v>
      </c>
      <c r="D9" s="4" t="s">
        <v>272</v>
      </c>
      <c r="E9" s="5" t="s">
        <v>1459</v>
      </c>
      <c r="F9" s="6" t="str">
        <f>HYPERLINK("https://stat100.ameba.jp/tnk47/ratio20/illustrations/card/ill_49345_karakauaou05.jpg", "■")</f>
        <v>■</v>
      </c>
      <c r="G9" s="4" t="s">
        <v>1460</v>
      </c>
      <c r="H9"/>
      <c r="I9"/>
      <c r="J9"/>
      <c r="K9"/>
      <c r="L9"/>
      <c r="M9"/>
      <c r="N9"/>
      <c r="O9"/>
      <c r="P9"/>
      <c r="Q9"/>
      <c r="R9"/>
      <c r="S9"/>
      <c r="T9"/>
      <c r="U9" t="s">
        <v>1461</v>
      </c>
      <c r="V9" t="s">
        <v>1462</v>
      </c>
      <c r="W9" s="4" t="s">
        <v>1093</v>
      </c>
      <c r="X9" s="4" t="s">
        <v>522</v>
      </c>
      <c r="Y9" s="4" t="s">
        <v>522</v>
      </c>
      <c r="Z9" s="4" t="s">
        <v>522</v>
      </c>
      <c r="AA9" s="4" t="s">
        <v>1463</v>
      </c>
      <c r="AB9" s="4" t="s">
        <v>1464</v>
      </c>
    </row>
    <row r="10" spans="1:28">
      <c r="A10" s="4" t="s">
        <v>1465</v>
      </c>
      <c r="B10" s="4">
        <v>50265</v>
      </c>
      <c r="C10" s="4" t="s">
        <v>1357</v>
      </c>
      <c r="D10" s="4" t="s">
        <v>216</v>
      </c>
      <c r="E10" s="5" t="s">
        <v>1466</v>
      </c>
      <c r="F10" s="6" t="str">
        <f>HYPERLINK("https://stat100.ameba.jp/tnk47/ratio20/illustrations/card/ill_50265_himetemari05.jpg", "■")</f>
        <v>■</v>
      </c>
      <c r="G10" s="4" t="s">
        <v>1467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 t="s">
        <v>1429</v>
      </c>
      <c r="V10" t="s">
        <v>1429</v>
      </c>
      <c r="W10" s="4" t="s">
        <v>1093</v>
      </c>
      <c r="X10" s="4" t="s">
        <v>522</v>
      </c>
      <c r="Y10" s="4" t="s">
        <v>522</v>
      </c>
      <c r="Z10" s="4" t="s">
        <v>522</v>
      </c>
      <c r="AA10" s="4" t="s">
        <v>1468</v>
      </c>
      <c r="AB10" s="4" t="s">
        <v>2428</v>
      </c>
    </row>
    <row r="11" spans="1:28">
      <c r="A11" s="4" t="s">
        <v>1469</v>
      </c>
      <c r="B11" s="4">
        <v>50275</v>
      </c>
      <c r="C11" s="4" t="s">
        <v>1470</v>
      </c>
      <c r="D11" s="4" t="s">
        <v>381</v>
      </c>
      <c r="E11" s="5" t="s">
        <v>1471</v>
      </c>
      <c r="F11" s="6" t="str">
        <f>HYPERLINK("https://stat100.ameba.jp/tnk47/ratio20/illustrations/card/ill_50275_hanasakamusume05.jpg", "■")</f>
        <v>■</v>
      </c>
      <c r="G11" s="4" t="s">
        <v>1472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 t="s">
        <v>1429</v>
      </c>
      <c r="V11" t="s">
        <v>1429</v>
      </c>
      <c r="W11" s="4" t="s">
        <v>1093</v>
      </c>
      <c r="X11" s="4" t="s">
        <v>522</v>
      </c>
      <c r="Y11" s="4" t="s">
        <v>522</v>
      </c>
      <c r="Z11" s="4" t="s">
        <v>522</v>
      </c>
      <c r="AA11" s="4" t="s">
        <v>1473</v>
      </c>
      <c r="AB11" s="4" t="s">
        <v>1474</v>
      </c>
    </row>
    <row r="12" spans="1:28">
      <c r="A12" s="4" t="s">
        <v>1475</v>
      </c>
      <c r="B12" s="4">
        <v>50935</v>
      </c>
      <c r="C12" s="4" t="s">
        <v>1448</v>
      </c>
      <c r="D12" s="4" t="s">
        <v>272</v>
      </c>
      <c r="E12" s="5" t="s">
        <v>1476</v>
      </c>
      <c r="F12" s="6" t="str">
        <f>HYPERLINK("https://stat100.ameba.jp/tnk47/ratio20/illustrations/card/ill_50935_ogurikozukenosuke05.jpg", "■")</f>
        <v>■</v>
      </c>
      <c r="G12" s="4" t="s">
        <v>1477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 t="s">
        <v>1429</v>
      </c>
      <c r="V12" t="s">
        <v>1478</v>
      </c>
      <c r="W12" s="4" t="s">
        <v>1093</v>
      </c>
      <c r="X12" s="4" t="s">
        <v>522</v>
      </c>
      <c r="Y12" s="4" t="s">
        <v>522</v>
      </c>
      <c r="Z12" s="4" t="s">
        <v>522</v>
      </c>
      <c r="AA12" s="4" t="s">
        <v>1479</v>
      </c>
      <c r="AB12" s="10" t="s">
        <v>1480</v>
      </c>
    </row>
    <row r="13" spans="1:28">
      <c r="A13" s="4" t="s">
        <v>1481</v>
      </c>
      <c r="B13" s="4">
        <v>50925</v>
      </c>
      <c r="C13" s="4" t="s">
        <v>1357</v>
      </c>
      <c r="D13" s="4" t="s">
        <v>357</v>
      </c>
      <c r="E13" s="5" t="s">
        <v>1482</v>
      </c>
      <c r="F13" s="6" t="str">
        <f>HYPERLINK("https://stat100.ameba.jp/tnk47/ratio20/illustrations/card/ill_50925_katsuonotataki05.jpg", "■")</f>
        <v>■</v>
      </c>
      <c r="G13" s="4" t="s">
        <v>1483</v>
      </c>
      <c r="H13"/>
      <c r="I13"/>
      <c r="J13"/>
      <c r="K13"/>
      <c r="L13"/>
      <c r="M13"/>
      <c r="N13"/>
      <c r="O13"/>
      <c r="P13"/>
      <c r="Q13"/>
      <c r="R13"/>
      <c r="S13"/>
      <c r="T13"/>
      <c r="U13" t="s">
        <v>1429</v>
      </c>
      <c r="V13" t="s">
        <v>1429</v>
      </c>
      <c r="W13" s="4" t="s">
        <v>1093</v>
      </c>
      <c r="X13" s="4" t="s">
        <v>522</v>
      </c>
      <c r="Y13" s="4" t="s">
        <v>522</v>
      </c>
      <c r="Z13" s="4" t="s">
        <v>522</v>
      </c>
      <c r="AA13" s="4" t="s">
        <v>1484</v>
      </c>
      <c r="AB13" s="4" t="s">
        <v>2195</v>
      </c>
    </row>
    <row r="14" spans="1:28">
      <c r="A14" s="4" t="s">
        <v>1485</v>
      </c>
      <c r="B14" s="4">
        <v>52015</v>
      </c>
      <c r="C14" s="4" t="s">
        <v>1486</v>
      </c>
      <c r="D14" s="4" t="s">
        <v>267</v>
      </c>
      <c r="E14" s="5" t="s">
        <v>1487</v>
      </c>
      <c r="F14" s="6" t="str">
        <f>HYPERLINK("https://stat100.ameba.jp/tnk47/ratio20/illustrations/card/ill_52015_kuzuryuomikami05.jpg", "■")</f>
        <v>■</v>
      </c>
      <c r="G14" s="4" t="s">
        <v>1488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 t="s">
        <v>1489</v>
      </c>
      <c r="V14" t="s">
        <v>1429</v>
      </c>
      <c r="W14" s="4" t="s">
        <v>1354</v>
      </c>
      <c r="X14" s="4">
        <v>21</v>
      </c>
      <c r="Y14" s="4">
        <v>72619</v>
      </c>
      <c r="Z14" s="4">
        <v>94798</v>
      </c>
      <c r="AA14" s="4" t="s">
        <v>1490</v>
      </c>
      <c r="AB14" s="4" t="s">
        <v>2196</v>
      </c>
    </row>
    <row r="15" spans="1:28">
      <c r="A15" s="4" t="s">
        <v>1491</v>
      </c>
      <c r="B15" s="4">
        <v>52005</v>
      </c>
      <c r="C15" s="4" t="s">
        <v>1357</v>
      </c>
      <c r="D15" s="4" t="s">
        <v>272</v>
      </c>
      <c r="E15" s="5" t="s">
        <v>1492</v>
      </c>
      <c r="F15" s="6" t="str">
        <f>HYPERLINK("https://stat100.ameba.jp/tnk47/ratio20/illustrations/card/ill_52005_okubotoshimichi05.jpg", "■")</f>
        <v>■</v>
      </c>
      <c r="G15" s="4" t="s">
        <v>1493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 t="s">
        <v>1429</v>
      </c>
      <c r="V15"/>
      <c r="W15" s="4" t="s">
        <v>1093</v>
      </c>
      <c r="X15" s="4" t="s">
        <v>522</v>
      </c>
      <c r="Y15" s="4" t="s">
        <v>522</v>
      </c>
      <c r="Z15" s="4" t="s">
        <v>522</v>
      </c>
      <c r="AA15" s="4" t="s">
        <v>1494</v>
      </c>
      <c r="AB15" s="4" t="s">
        <v>1495</v>
      </c>
    </row>
    <row r="16" spans="1:28">
      <c r="A16" s="4" t="s">
        <v>1496</v>
      </c>
      <c r="B16" s="4">
        <v>50605</v>
      </c>
      <c r="C16" s="4" t="s">
        <v>1357</v>
      </c>
      <c r="D16" s="4" t="s">
        <v>216</v>
      </c>
      <c r="E16" s="5" t="s">
        <v>1497</v>
      </c>
      <c r="F16" s="6" t="str">
        <f>HYPERLINK("https://stat100.ameba.jp/tnk47/ratio20/illustrations/card/ill_50605_yambarukuina05.jpg", "■")</f>
        <v>■</v>
      </c>
      <c r="G16" s="4" t="s">
        <v>1498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 t="s">
        <v>1429</v>
      </c>
      <c r="V16" t="s">
        <v>1429</v>
      </c>
      <c r="W16" s="4" t="s">
        <v>1093</v>
      </c>
      <c r="X16" s="4" t="s">
        <v>522</v>
      </c>
      <c r="Y16" s="4" t="s">
        <v>522</v>
      </c>
      <c r="Z16" s="4" t="s">
        <v>522</v>
      </c>
      <c r="AA16" s="4" t="s">
        <v>1499</v>
      </c>
      <c r="AB16" s="10" t="s">
        <v>1500</v>
      </c>
    </row>
    <row r="17" spans="1:28">
      <c r="A17" s="4" t="s">
        <v>1501</v>
      </c>
      <c r="B17" s="4">
        <v>53045</v>
      </c>
      <c r="C17" s="4" t="s">
        <v>1470</v>
      </c>
      <c r="D17" s="4" t="s">
        <v>295</v>
      </c>
      <c r="E17" s="5" t="s">
        <v>1502</v>
      </c>
      <c r="F17" s="6" t="str">
        <f>HYPERLINK("https://stat100.ameba.jp/tnk47/ratio20/illustrations/card/ill_53045_ashikagachachamaru05.jpg", "■")</f>
        <v>■</v>
      </c>
      <c r="G17" s="4" t="s">
        <v>1503</v>
      </c>
      <c r="H17"/>
      <c r="I17"/>
      <c r="J17"/>
      <c r="K17"/>
      <c r="L17"/>
      <c r="M17"/>
      <c r="N17"/>
      <c r="O17"/>
      <c r="P17"/>
      <c r="Q17"/>
      <c r="R17"/>
      <c r="S17"/>
      <c r="T17"/>
      <c r="U17" t="s">
        <v>1504</v>
      </c>
      <c r="V17" t="s">
        <v>1429</v>
      </c>
      <c r="W17" s="4" t="s">
        <v>1093</v>
      </c>
      <c r="X17" s="4">
        <v>9</v>
      </c>
      <c r="Y17" s="4">
        <v>53351</v>
      </c>
      <c r="Z17" s="4">
        <v>32251</v>
      </c>
      <c r="AA17" s="4" t="s">
        <v>1505</v>
      </c>
      <c r="AB17" s="4" t="s">
        <v>2198</v>
      </c>
    </row>
    <row r="18" spans="1:28">
      <c r="A18" s="4" t="s">
        <v>1506</v>
      </c>
      <c r="B18" s="4">
        <v>54115</v>
      </c>
      <c r="C18" s="4" t="s">
        <v>1351</v>
      </c>
      <c r="D18" s="4" t="s">
        <v>330</v>
      </c>
      <c r="E18" s="5" t="s">
        <v>1507</v>
      </c>
      <c r="F18" s="6" t="str">
        <f>HYPERLINK("https://stat100.ameba.jp/tnk47/ratio20/illustrations/card/ill_54115_senkiaoigozen05.jpg", "■")</f>
        <v>■</v>
      </c>
      <c r="G18" s="4" t="s">
        <v>1508</v>
      </c>
      <c r="H18"/>
      <c r="I18"/>
      <c r="J18"/>
      <c r="K18"/>
      <c r="L18"/>
      <c r="M18"/>
      <c r="N18"/>
      <c r="O18"/>
      <c r="P18"/>
      <c r="Q18"/>
      <c r="R18"/>
      <c r="S18"/>
      <c r="T18"/>
      <c r="U18" t="s">
        <v>1509</v>
      </c>
      <c r="V18" t="s">
        <v>1429</v>
      </c>
      <c r="W18" s="4" t="s">
        <v>1354</v>
      </c>
      <c r="X18" s="4" t="s">
        <v>522</v>
      </c>
      <c r="Y18" s="4" t="s">
        <v>522</v>
      </c>
      <c r="Z18" s="4" t="s">
        <v>522</v>
      </c>
      <c r="AA18" s="4" t="s">
        <v>1510</v>
      </c>
      <c r="AB18" s="4" t="s">
        <v>1511</v>
      </c>
    </row>
    <row r="19" spans="1:28">
      <c r="A19" s="4" t="s">
        <v>1512</v>
      </c>
      <c r="B19" s="4">
        <v>54125</v>
      </c>
      <c r="C19" s="4" t="s">
        <v>1441</v>
      </c>
      <c r="D19" s="4" t="s">
        <v>468</v>
      </c>
      <c r="E19" s="5" t="s">
        <v>1513</v>
      </c>
      <c r="F19" s="6" t="str">
        <f>HYPERLINK("https://stat100.ameba.jp/tnk47/ratio20/illustrations/card/ill_54125_itojakuchu05.jpg", "■")</f>
        <v>■</v>
      </c>
      <c r="G19" s="4" t="s">
        <v>1514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 t="s">
        <v>1515</v>
      </c>
      <c r="V19" s="23" t="s">
        <v>1429</v>
      </c>
      <c r="W19" s="32" t="s">
        <v>1354</v>
      </c>
      <c r="X19" s="4">
        <v>9</v>
      </c>
      <c r="Y19" s="4">
        <v>28437</v>
      </c>
      <c r="Z19" s="4">
        <v>37005</v>
      </c>
      <c r="AA19" s="4" t="s">
        <v>1516</v>
      </c>
      <c r="AB19" s="4" t="s">
        <v>2199</v>
      </c>
    </row>
    <row r="20" spans="1:28">
      <c r="A20" s="4" t="s">
        <v>1517</v>
      </c>
      <c r="B20" s="4">
        <v>54795</v>
      </c>
      <c r="C20" s="4" t="s">
        <v>1357</v>
      </c>
      <c r="D20" s="4" t="s">
        <v>272</v>
      </c>
      <c r="E20" s="5" t="s">
        <v>1518</v>
      </c>
      <c r="F20" s="6" t="str">
        <f>HYPERLINK("https://stat100.ameba.jp/tnk47/ratio20/illustrations/card/ill_54795_taiseihokansaigotakamori05.jpg", "■")</f>
        <v>■</v>
      </c>
      <c r="G20" s="4" t="s">
        <v>1519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 t="s">
        <v>1520</v>
      </c>
      <c r="V20" t="s">
        <v>1429</v>
      </c>
      <c r="W20" s="4" t="s">
        <v>1093</v>
      </c>
      <c r="X20" s="4" t="s">
        <v>522</v>
      </c>
      <c r="Y20" s="4" t="s">
        <v>522</v>
      </c>
      <c r="Z20" s="4" t="s">
        <v>522</v>
      </c>
      <c r="AA20" s="4" t="s">
        <v>1521</v>
      </c>
      <c r="AB20" s="4" t="s">
        <v>2200</v>
      </c>
    </row>
    <row r="21" spans="1:28">
      <c r="A21" s="4" t="s">
        <v>1522</v>
      </c>
      <c r="B21" s="4">
        <v>54805</v>
      </c>
      <c r="C21" s="4" t="s">
        <v>1351</v>
      </c>
      <c r="D21" s="4" t="s">
        <v>381</v>
      </c>
      <c r="E21" s="5" t="s">
        <v>1523</v>
      </c>
      <c r="F21" s="6" t="str">
        <f>HYPERLINK("https://stat100.ameba.jp/tnk47/ratio20/illustrations/card/ill_54805_onikojimayataro05.jpg", "■")</f>
        <v>■</v>
      </c>
      <c r="G21" s="4" t="s">
        <v>1524</v>
      </c>
      <c r="H21"/>
      <c r="I21"/>
      <c r="J21"/>
      <c r="K21"/>
      <c r="L21"/>
      <c r="M21"/>
      <c r="N21"/>
      <c r="O21"/>
      <c r="P21"/>
      <c r="Q21"/>
      <c r="R21"/>
      <c r="S21"/>
      <c r="T21"/>
      <c r="U21" t="s">
        <v>1520</v>
      </c>
      <c r="V21" s="23" t="s">
        <v>1429</v>
      </c>
      <c r="W21" s="4" t="s">
        <v>1093</v>
      </c>
      <c r="X21" s="4">
        <v>9</v>
      </c>
      <c r="Y21" s="4">
        <v>37005</v>
      </c>
      <c r="Z21" s="4">
        <v>28437</v>
      </c>
      <c r="AA21" s="4" t="s">
        <v>1525</v>
      </c>
      <c r="AB21" s="4" t="s">
        <v>2201</v>
      </c>
    </row>
    <row r="22" spans="1:28">
      <c r="A22" s="4" t="s">
        <v>1526</v>
      </c>
      <c r="B22" s="4">
        <v>55805</v>
      </c>
      <c r="C22" s="4" t="s">
        <v>1357</v>
      </c>
      <c r="D22" s="4" t="s">
        <v>295</v>
      </c>
      <c r="E22" s="5" t="s">
        <v>1527</v>
      </c>
      <c r="F22" s="6" t="str">
        <f>HYPERLINK("https://stat100.ameba.jp/tnk47/ratio20/illustrations/card/ill_55805_senninzukaashikagayoshiteru05.jpg", "■")</f>
        <v>■</v>
      </c>
      <c r="G22" s="4" t="s">
        <v>1528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 t="s">
        <v>1520</v>
      </c>
      <c r="V22" t="s">
        <v>1429</v>
      </c>
      <c r="W22" s="4" t="s">
        <v>1354</v>
      </c>
      <c r="X22" s="4" t="s">
        <v>522</v>
      </c>
      <c r="Y22" s="4" t="s">
        <v>522</v>
      </c>
      <c r="Z22" s="4" t="s">
        <v>522</v>
      </c>
      <c r="AA22" s="4" t="s">
        <v>1394</v>
      </c>
      <c r="AB22" s="4" t="s">
        <v>2198</v>
      </c>
    </row>
    <row r="23" spans="1:28">
      <c r="A23" s="4" t="s">
        <v>1529</v>
      </c>
      <c r="B23" s="4">
        <v>55815</v>
      </c>
      <c r="C23" s="4" t="s">
        <v>1351</v>
      </c>
      <c r="D23" s="4" t="s">
        <v>221</v>
      </c>
      <c r="E23" s="5" t="s">
        <v>1530</v>
      </c>
      <c r="F23" s="6" t="str">
        <f>HYPERLINK("https://stat100.ameba.jp/tnk47/ratio20/illustrations/card/ill_55815_koroka05.jpg", "■")</f>
        <v>■</v>
      </c>
      <c r="G23" s="4" t="s">
        <v>1531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 t="s">
        <v>1532</v>
      </c>
      <c r="V23" t="s">
        <v>1429</v>
      </c>
      <c r="W23" s="4" t="s">
        <v>1093</v>
      </c>
      <c r="X23" s="4">
        <v>9</v>
      </c>
      <c r="Y23" s="4">
        <v>37005</v>
      </c>
      <c r="Z23" s="4">
        <v>28437</v>
      </c>
      <c r="AA23" s="4" t="s">
        <v>1389</v>
      </c>
      <c r="AB23" s="4" t="s">
        <v>1533</v>
      </c>
    </row>
    <row r="24" spans="1:28">
      <c r="A24" s="4" t="s">
        <v>1534</v>
      </c>
      <c r="B24" s="4">
        <v>56405</v>
      </c>
      <c r="C24" s="4" t="s">
        <v>1351</v>
      </c>
      <c r="D24" s="4" t="s">
        <v>272</v>
      </c>
      <c r="E24" s="5" t="s">
        <v>1535</v>
      </c>
      <c r="F24" s="6" t="str">
        <f>HYPERLINK("https://stat100.ameba.jp/tnk47/ratio20/illustrations/card/ill_56405_inukaitsuyoshi05.jpg", "■")</f>
        <v>■</v>
      </c>
      <c r="G24" s="4" t="s">
        <v>1536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 t="s">
        <v>1537</v>
      </c>
      <c r="V24" t="s">
        <v>1429</v>
      </c>
      <c r="W24" s="4" t="s">
        <v>1354</v>
      </c>
      <c r="X24" s="4" t="s">
        <v>522</v>
      </c>
      <c r="Y24" s="4" t="s">
        <v>522</v>
      </c>
      <c r="Z24" s="4" t="s">
        <v>522</v>
      </c>
      <c r="AA24" s="4" t="s">
        <v>1538</v>
      </c>
      <c r="AB24" s="4" t="s">
        <v>1539</v>
      </c>
    </row>
    <row r="25" spans="1:28">
      <c r="A25" s="4" t="s">
        <v>1540</v>
      </c>
      <c r="B25" s="4">
        <v>56395</v>
      </c>
      <c r="C25" s="4" t="s">
        <v>1441</v>
      </c>
      <c r="D25" s="4" t="s">
        <v>357</v>
      </c>
      <c r="E25" s="5" t="s">
        <v>1541</v>
      </c>
      <c r="F25" s="6" t="str">
        <f>HYPERLINK("https://stat100.ameba.jp/tnk47/ratio20/illustrations/card/ill_56395_tonkotsuramen05.jpg", "■")</f>
        <v>■</v>
      </c>
      <c r="G25" s="4" t="s">
        <v>1542</v>
      </c>
      <c r="H25"/>
      <c r="I25"/>
      <c r="J25"/>
      <c r="K25"/>
      <c r="L25"/>
      <c r="M25"/>
      <c r="N25"/>
      <c r="O25"/>
      <c r="P25"/>
      <c r="Q25"/>
      <c r="R25"/>
      <c r="S25"/>
      <c r="T25"/>
      <c r="U25" t="s">
        <v>3175</v>
      </c>
      <c r="V25" t="s">
        <v>1429</v>
      </c>
      <c r="W25" s="4" t="s">
        <v>1354</v>
      </c>
      <c r="X25" s="4">
        <v>9</v>
      </c>
      <c r="Y25" s="4">
        <v>28437</v>
      </c>
      <c r="Z25" s="4">
        <v>37005</v>
      </c>
      <c r="AA25" s="4" t="s">
        <v>1543</v>
      </c>
      <c r="AB25" s="4" t="s">
        <v>1544</v>
      </c>
    </row>
    <row r="26" spans="1:28">
      <c r="A26" s="4" t="s">
        <v>1545</v>
      </c>
      <c r="B26" s="4">
        <v>57085</v>
      </c>
      <c r="C26" s="4" t="s">
        <v>1441</v>
      </c>
      <c r="D26" s="4" t="s">
        <v>272</v>
      </c>
      <c r="E26" s="5" t="s">
        <v>1546</v>
      </c>
      <c r="F26" s="6" t="str">
        <f>HYPERLINK("https://stat100.ameba.jp/tnk47/ratio20/illustrations/card/ill_57085_shimazunariakira05.jpg", "■")</f>
        <v>■</v>
      </c>
      <c r="G26" s="4" t="s">
        <v>1547</v>
      </c>
      <c r="H26"/>
      <c r="I26"/>
      <c r="J26"/>
      <c r="K26"/>
      <c r="L26"/>
      <c r="M26"/>
      <c r="N26"/>
      <c r="O26"/>
      <c r="P26"/>
      <c r="Q26"/>
      <c r="R26"/>
      <c r="S26"/>
      <c r="T26"/>
      <c r="U26" t="s">
        <v>1548</v>
      </c>
      <c r="V26" t="s">
        <v>1429</v>
      </c>
      <c r="W26" s="4" t="s">
        <v>1354</v>
      </c>
      <c r="X26" s="4" t="s">
        <v>522</v>
      </c>
      <c r="Y26" s="4" t="s">
        <v>522</v>
      </c>
      <c r="Z26" s="4" t="s">
        <v>522</v>
      </c>
      <c r="AA26" s="4" t="s">
        <v>1549</v>
      </c>
      <c r="AB26" s="4" t="s">
        <v>1550</v>
      </c>
    </row>
    <row r="27" spans="1:28">
      <c r="A27" s="4" t="s">
        <v>1551</v>
      </c>
      <c r="B27" s="4">
        <v>57075</v>
      </c>
      <c r="C27" s="4" t="s">
        <v>1351</v>
      </c>
      <c r="D27" s="4" t="s">
        <v>381</v>
      </c>
      <c r="E27" s="5" t="s">
        <v>1552</v>
      </c>
      <c r="F27" s="6" t="str">
        <f>HYPERLINK("https://stat100.ameba.jp/tnk47/ratio20/illustrations/card/ill_57075_yashahime05.jpg", "■")</f>
        <v>■</v>
      </c>
      <c r="G27" s="4" t="s">
        <v>1553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 t="s">
        <v>1554</v>
      </c>
      <c r="V27" t="s">
        <v>1429</v>
      </c>
      <c r="W27" s="4" t="s">
        <v>1354</v>
      </c>
      <c r="X27" s="4">
        <v>9</v>
      </c>
      <c r="Y27" s="4">
        <v>28437</v>
      </c>
      <c r="Z27" s="4">
        <v>37005</v>
      </c>
      <c r="AA27" s="4" t="s">
        <v>1555</v>
      </c>
      <c r="AB27" s="4" t="s">
        <v>2203</v>
      </c>
    </row>
    <row r="29" spans="1:28">
      <c r="A29" s="4" t="s">
        <v>1556</v>
      </c>
    </row>
    <row r="30" spans="1:28">
      <c r="A30" s="4" t="s">
        <v>1557</v>
      </c>
      <c r="B30" s="4">
        <v>58315</v>
      </c>
      <c r="C30" s="4" t="s">
        <v>1441</v>
      </c>
      <c r="D30" s="4" t="s">
        <v>330</v>
      </c>
      <c r="E30" s="5" t="s">
        <v>1558</v>
      </c>
      <c r="F30" s="6" t="str">
        <f>HYPERLINK("https://stat100.ameba.jp/tnk47/ratio20/illustrations/card/ill_58315_sonshinaishinno05.jpg", "■")</f>
        <v>■</v>
      </c>
      <c r="G30" s="4" t="s">
        <v>1559</v>
      </c>
      <c r="H30"/>
      <c r="I30"/>
      <c r="J30"/>
      <c r="K30"/>
      <c r="L30"/>
      <c r="M30"/>
      <c r="N30"/>
      <c r="O30"/>
      <c r="P30"/>
      <c r="Q30"/>
      <c r="R30"/>
      <c r="S30"/>
      <c r="T30"/>
      <c r="U30" t="s">
        <v>1560</v>
      </c>
      <c r="V30" t="s">
        <v>1429</v>
      </c>
      <c r="W30" s="4" t="s">
        <v>1354</v>
      </c>
      <c r="X30" s="4">
        <v>22</v>
      </c>
      <c r="Y30" s="4">
        <v>99312</v>
      </c>
      <c r="Z30" s="4">
        <v>76078</v>
      </c>
      <c r="AA30" s="4" t="s">
        <v>1561</v>
      </c>
      <c r="AB30" s="4" t="s">
        <v>2429</v>
      </c>
    </row>
    <row r="31" spans="1:28">
      <c r="A31" s="4" t="s">
        <v>1433</v>
      </c>
      <c r="B31" s="4">
        <v>58295</v>
      </c>
      <c r="C31" s="4" t="s">
        <v>1351</v>
      </c>
      <c r="D31" s="4" t="s">
        <v>468</v>
      </c>
      <c r="E31" s="5" t="s">
        <v>1562</v>
      </c>
      <c r="F31" s="6" t="str">
        <f>HYPERLINK("https://stat100.ameba.jp/tnk47/ratio20/illustrations/card/ill_58295_hasegawashigure05.jpg", "■")</f>
        <v>■</v>
      </c>
      <c r="G31" s="4" t="s">
        <v>1563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 t="s">
        <v>1564</v>
      </c>
      <c r="V31" t="s">
        <v>1429</v>
      </c>
      <c r="W31" s="4" t="s">
        <v>1354</v>
      </c>
      <c r="X31" s="4">
        <v>9</v>
      </c>
      <c r="Y31" s="4">
        <v>28437</v>
      </c>
      <c r="Z31" s="4">
        <v>37005</v>
      </c>
      <c r="AA31" s="4" t="s">
        <v>1565</v>
      </c>
      <c r="AB31" s="4" t="s">
        <v>2204</v>
      </c>
    </row>
    <row r="32" spans="1:28">
      <c r="A32" s="4" t="s">
        <v>1566</v>
      </c>
      <c r="B32" s="4">
        <v>59355</v>
      </c>
      <c r="C32" s="4" t="s">
        <v>1441</v>
      </c>
      <c r="D32" s="4" t="s">
        <v>381</v>
      </c>
      <c r="E32" s="5" t="s">
        <v>1567</v>
      </c>
      <c r="F32" s="6" t="str">
        <f>HYPERLINK("https://stat100.ameba.jp/tnk47/ratio20/illustrations/card/ill_59355_kijutsu05.jpg", "■")</f>
        <v>■</v>
      </c>
      <c r="G32" s="4" t="s">
        <v>1568</v>
      </c>
      <c r="H32"/>
      <c r="I32"/>
      <c r="J32"/>
      <c r="K32" s="13" t="s">
        <v>1569</v>
      </c>
      <c r="L32"/>
      <c r="M32"/>
      <c r="N32"/>
      <c r="O32"/>
      <c r="P32"/>
      <c r="Q32"/>
      <c r="R32"/>
      <c r="S32"/>
      <c r="T32"/>
      <c r="U32" t="s">
        <v>3042</v>
      </c>
      <c r="V32" t="s">
        <v>1429</v>
      </c>
      <c r="W32" s="4" t="s">
        <v>1354</v>
      </c>
      <c r="X32" s="4" t="s">
        <v>522</v>
      </c>
      <c r="Y32" s="4" t="s">
        <v>522</v>
      </c>
      <c r="Z32" s="4" t="s">
        <v>522</v>
      </c>
      <c r="AA32" s="4" t="s">
        <v>1570</v>
      </c>
      <c r="AB32" s="4" t="s">
        <v>1571</v>
      </c>
    </row>
    <row r="33" spans="1:30">
      <c r="A33" s="4" t="s">
        <v>1572</v>
      </c>
      <c r="B33" s="4">
        <v>46645</v>
      </c>
      <c r="C33" s="4" t="s">
        <v>1351</v>
      </c>
      <c r="D33" s="4" t="s">
        <v>468</v>
      </c>
      <c r="E33" s="5" t="s">
        <v>1573</v>
      </c>
      <c r="F33" s="6" t="str">
        <f>HYPERLINK("https://stat100.ameba.jp/tnk47/ratio20/illustrations/card/ill_46645_kitagawautamaro05.jpg", "■")</f>
        <v>■</v>
      </c>
      <c r="G33" s="4" t="s">
        <v>1574</v>
      </c>
      <c r="H33"/>
      <c r="I33"/>
      <c r="J33"/>
      <c r="K33"/>
      <c r="L33"/>
      <c r="M33"/>
      <c r="N33"/>
      <c r="O33"/>
      <c r="P33"/>
      <c r="Q33"/>
      <c r="R33"/>
      <c r="S33"/>
      <c r="T33"/>
      <c r="U33" t="s">
        <v>1575</v>
      </c>
      <c r="V33" t="s">
        <v>1429</v>
      </c>
      <c r="W33" s="4" t="s">
        <v>1354</v>
      </c>
      <c r="X33" s="4">
        <v>22</v>
      </c>
      <c r="Y33" s="4">
        <v>94594</v>
      </c>
      <c r="Z33" s="4">
        <v>72468</v>
      </c>
      <c r="AA33" s="4" t="s">
        <v>1576</v>
      </c>
      <c r="AB33" s="4" t="s">
        <v>2205</v>
      </c>
    </row>
    <row r="34" spans="1:30">
      <c r="A34" s="4" t="s">
        <v>1447</v>
      </c>
      <c r="B34" s="4">
        <v>59365</v>
      </c>
      <c r="C34" s="4" t="s">
        <v>1351</v>
      </c>
      <c r="D34" s="4" t="s">
        <v>229</v>
      </c>
      <c r="E34" s="5" t="s">
        <v>1577</v>
      </c>
      <c r="F34" s="6" t="str">
        <f>HYPERLINK("https://stat100.ameba.jp/tnk47/ratio20/illustrations/card/ill_59365_hokkaidoinu05.jpg", "■")</f>
        <v>■</v>
      </c>
      <c r="G34" s="4" t="s">
        <v>1578</v>
      </c>
      <c r="H34"/>
      <c r="I34"/>
      <c r="J34"/>
      <c r="K34"/>
      <c r="L34"/>
      <c r="M34"/>
      <c r="N34"/>
      <c r="O34"/>
      <c r="P34"/>
      <c r="Q34"/>
      <c r="R34"/>
      <c r="S34"/>
      <c r="T34"/>
      <c r="U34" t="s">
        <v>1579</v>
      </c>
      <c r="V34" t="s">
        <v>1429</v>
      </c>
      <c r="W34" s="4" t="s">
        <v>1354</v>
      </c>
      <c r="X34" s="4">
        <v>20</v>
      </c>
      <c r="Y34" s="4">
        <v>85994</v>
      </c>
      <c r="Z34" s="4">
        <v>65880</v>
      </c>
      <c r="AA34" s="4" t="s">
        <v>1580</v>
      </c>
      <c r="AB34" s="4" t="s">
        <v>2206</v>
      </c>
    </row>
    <row r="35" spans="1:30">
      <c r="A35" s="4" t="s">
        <v>1581</v>
      </c>
      <c r="B35" s="4">
        <v>60135</v>
      </c>
      <c r="C35" s="4" t="s">
        <v>1441</v>
      </c>
      <c r="D35" s="4" t="s">
        <v>221</v>
      </c>
      <c r="E35" s="5" t="s">
        <v>1582</v>
      </c>
      <c r="F35" s="6" t="str">
        <f>HYPERLINK("https://stat100.ameba.jp/tnk47/ratio20/illustrations/card/ill_60135_guhin05.jpg", "■")</f>
        <v>■</v>
      </c>
      <c r="G35" s="4" t="s">
        <v>1583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 t="s">
        <v>1584</v>
      </c>
      <c r="V35" t="s">
        <v>1429</v>
      </c>
      <c r="W35" s="4" t="s">
        <v>1093</v>
      </c>
      <c r="X35" s="4" t="s">
        <v>522</v>
      </c>
      <c r="Y35" s="4" t="s">
        <v>522</v>
      </c>
      <c r="Z35" s="4" t="s">
        <v>522</v>
      </c>
      <c r="AA35" s="4" t="s">
        <v>1585</v>
      </c>
      <c r="AB35" s="4" t="s">
        <v>1586</v>
      </c>
    </row>
    <row r="36" spans="1:30">
      <c r="A36" s="4" t="s">
        <v>1587</v>
      </c>
      <c r="B36" s="4">
        <v>61715</v>
      </c>
      <c r="C36" s="4" t="s">
        <v>1441</v>
      </c>
      <c r="D36" s="4" t="s">
        <v>229</v>
      </c>
      <c r="E36" s="5" t="s">
        <v>1588</v>
      </c>
      <c r="F36" s="6" t="str">
        <f>HYPERLINK("https://stat100.ameba.jp/tnk47/ratio20/illustrations/card/ill_61715_shiroiruka05.jpg", "■")</f>
        <v>■</v>
      </c>
      <c r="G36" s="4" t="s">
        <v>1589</v>
      </c>
      <c r="H36"/>
      <c r="I36"/>
      <c r="J36"/>
      <c r="K36"/>
      <c r="L36"/>
      <c r="M36"/>
      <c r="N36"/>
      <c r="O36"/>
      <c r="P36"/>
      <c r="Q36"/>
      <c r="R36"/>
      <c r="S36"/>
      <c r="T36"/>
      <c r="U36" t="s">
        <v>1590</v>
      </c>
      <c r="V36" t="s">
        <v>1429</v>
      </c>
      <c r="W36" s="4" t="s">
        <v>1093</v>
      </c>
      <c r="X36" s="4" t="s">
        <v>522</v>
      </c>
      <c r="Y36" s="4" t="s">
        <v>522</v>
      </c>
      <c r="Z36" s="4" t="s">
        <v>522</v>
      </c>
      <c r="AA36" s="4" t="s">
        <v>1591</v>
      </c>
      <c r="AB36" s="4" t="s">
        <v>2208</v>
      </c>
    </row>
    <row r="37" spans="1:30">
      <c r="A37" s="4" t="s">
        <v>1458</v>
      </c>
      <c r="B37" s="4">
        <v>60145</v>
      </c>
      <c r="C37" s="4" t="s">
        <v>1351</v>
      </c>
      <c r="D37" s="4" t="s">
        <v>235</v>
      </c>
      <c r="E37" s="5" t="s">
        <v>1592</v>
      </c>
      <c r="F37" s="6" t="str">
        <f>HYPERLINK("https://stat100.ameba.jp/tnk47/ratio20/illustrations/card/ill_60145_momonoishunzo05.jpg", "■")</f>
        <v>■</v>
      </c>
      <c r="G37" s="4" t="s">
        <v>1593</v>
      </c>
      <c r="H37"/>
      <c r="I37"/>
      <c r="J37"/>
      <c r="K37"/>
      <c r="L37"/>
      <c r="M37"/>
      <c r="N37"/>
      <c r="O37"/>
      <c r="P37"/>
      <c r="Q37"/>
      <c r="R37"/>
      <c r="S37"/>
      <c r="T37"/>
      <c r="U37" t="s">
        <v>1594</v>
      </c>
      <c r="V37" t="s">
        <v>1429</v>
      </c>
      <c r="W37" s="4" t="s">
        <v>1093</v>
      </c>
      <c r="X37" s="4">
        <v>9</v>
      </c>
      <c r="Y37" s="4">
        <v>35767</v>
      </c>
      <c r="Z37" s="4">
        <v>59168</v>
      </c>
      <c r="AA37" s="4" t="s">
        <v>1595</v>
      </c>
      <c r="AB37" s="4" t="s">
        <v>1596</v>
      </c>
    </row>
    <row r="38" spans="1:30">
      <c r="A38" s="4" t="s">
        <v>1465</v>
      </c>
      <c r="B38" s="4">
        <v>61315</v>
      </c>
      <c r="C38" s="4" t="s">
        <v>1441</v>
      </c>
      <c r="D38" s="4" t="s">
        <v>267</v>
      </c>
      <c r="E38" s="5" t="s">
        <v>1597</v>
      </c>
      <c r="F38" s="6" t="str">
        <f>HYPERLINK("https://stat100.ameba.jp/tnk47/ratio20/illustrations/card/ill_61315_kayanarumi05.jpg", "■")</f>
        <v>■</v>
      </c>
      <c r="G38" s="4" t="s">
        <v>1598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 t="s">
        <v>1599</v>
      </c>
      <c r="V38" t="s">
        <v>1429</v>
      </c>
      <c r="W38" s="4" t="s">
        <v>1354</v>
      </c>
      <c r="X38" s="4" t="s">
        <v>522</v>
      </c>
      <c r="Y38" s="4" t="s">
        <v>522</v>
      </c>
      <c r="Z38" s="4" t="s">
        <v>522</v>
      </c>
      <c r="AA38" s="4" t="s">
        <v>1600</v>
      </c>
      <c r="AB38" s="4" t="s">
        <v>2210</v>
      </c>
    </row>
    <row r="39" spans="1:30">
      <c r="A39" s="4" t="s">
        <v>1601</v>
      </c>
      <c r="B39" s="4">
        <v>61725</v>
      </c>
      <c r="C39" s="4" t="s">
        <v>1351</v>
      </c>
      <c r="D39" s="4" t="s">
        <v>302</v>
      </c>
      <c r="E39" s="5" t="s">
        <v>1602</v>
      </c>
      <c r="F39" s="6" t="str">
        <f>HYPERLINK("https://stat100.ameba.jp/tnk47/ratio20/illustrations/card/ill_61725_ainusokki05.jpg", "■")</f>
        <v>■</v>
      </c>
      <c r="G39" s="4" t="s">
        <v>1603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 t="s">
        <v>1604</v>
      </c>
      <c r="V39" t="s">
        <v>1429</v>
      </c>
      <c r="W39" s="4" t="s">
        <v>1093</v>
      </c>
      <c r="X39" s="4" t="s">
        <v>522</v>
      </c>
      <c r="Y39" s="4" t="s">
        <v>522</v>
      </c>
      <c r="Z39" s="4" t="s">
        <v>522</v>
      </c>
      <c r="AA39" s="4" t="s">
        <v>1605</v>
      </c>
      <c r="AB39" s="4" t="s">
        <v>1606</v>
      </c>
    </row>
    <row r="40" spans="1:30">
      <c r="A40" s="4" t="s">
        <v>1469</v>
      </c>
      <c r="B40" s="4">
        <v>61305</v>
      </c>
      <c r="C40" s="4" t="s">
        <v>1351</v>
      </c>
      <c r="D40" s="4" t="s">
        <v>272</v>
      </c>
      <c r="E40" s="5" t="s">
        <v>1607</v>
      </c>
      <c r="F40" s="6" t="str">
        <f>HYPERLINK("https://stat100.ameba.jp/tnk47/ratio20/illustrations/card/ill_61305_nichiren05.jpg", "■")</f>
        <v>■</v>
      </c>
      <c r="G40" s="4" t="s">
        <v>1608</v>
      </c>
      <c r="H40"/>
      <c r="I40"/>
      <c r="J40"/>
      <c r="K40"/>
      <c r="L40"/>
      <c r="M40"/>
      <c r="N40"/>
      <c r="O40"/>
      <c r="P40"/>
      <c r="Q40"/>
      <c r="R40"/>
      <c r="S40"/>
      <c r="T40"/>
      <c r="U40" t="s">
        <v>1609</v>
      </c>
      <c r="V40" t="s">
        <v>1429</v>
      </c>
      <c r="W40" s="4" t="s">
        <v>1354</v>
      </c>
      <c r="X40" s="4">
        <v>9</v>
      </c>
      <c r="Y40" s="4">
        <v>40515</v>
      </c>
      <c r="Z40" s="4">
        <v>29333</v>
      </c>
      <c r="AA40" s="4" t="s">
        <v>1610</v>
      </c>
      <c r="AB40" s="4" t="s">
        <v>1845</v>
      </c>
    </row>
    <row r="41" spans="1:30">
      <c r="A41" s="4" t="s">
        <v>1475</v>
      </c>
      <c r="B41" s="4">
        <v>61965</v>
      </c>
      <c r="C41" s="4" t="s">
        <v>1351</v>
      </c>
      <c r="D41" s="4" t="s">
        <v>221</v>
      </c>
      <c r="E41" s="5" t="s">
        <v>1611</v>
      </c>
      <c r="F41" s="6" t="str">
        <f>HYPERLINK("https://stat100.ameba.jp/tnk47/ratio20/illustrations/card/ill_61965_omagatoki05.jpg", "■")</f>
        <v>■</v>
      </c>
      <c r="G41" s="4" t="s">
        <v>1612</v>
      </c>
      <c r="H41"/>
      <c r="I41"/>
      <c r="J41"/>
      <c r="K41"/>
      <c r="L41"/>
      <c r="M41"/>
      <c r="N41"/>
      <c r="O41"/>
      <c r="P41"/>
      <c r="Q41"/>
      <c r="R41"/>
      <c r="S41"/>
      <c r="T41"/>
      <c r="U41" t="s">
        <v>1613</v>
      </c>
      <c r="V41" t="s">
        <v>1429</v>
      </c>
      <c r="W41" s="4" t="s">
        <v>1354</v>
      </c>
      <c r="X41" s="4">
        <v>21</v>
      </c>
      <c r="Y41" s="4">
        <v>110589</v>
      </c>
      <c r="Z41" s="4">
        <v>80088</v>
      </c>
      <c r="AA41" s="4" t="s">
        <v>1614</v>
      </c>
      <c r="AB41" s="4" t="s">
        <v>1615</v>
      </c>
    </row>
    <row r="42" spans="1:30">
      <c r="A42" s="4" t="s">
        <v>1481</v>
      </c>
      <c r="B42" s="4">
        <v>61975</v>
      </c>
      <c r="C42" s="4" t="s">
        <v>1441</v>
      </c>
      <c r="D42" s="4" t="s">
        <v>357</v>
      </c>
      <c r="E42" s="5" t="s">
        <v>1616</v>
      </c>
      <c r="F42" s="6" t="str">
        <f>HYPERLINK("https://stat100.ameba.jp/tnk47/ratio20/illustrations/card/ill_61975_yamematcha05.jpg", "■")</f>
        <v>■</v>
      </c>
      <c r="G42" s="4" t="s">
        <v>1617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 t="s">
        <v>1618</v>
      </c>
      <c r="V42" t="s">
        <v>1429</v>
      </c>
      <c r="W42" s="4" t="s">
        <v>1354</v>
      </c>
      <c r="X42" s="4">
        <v>20</v>
      </c>
      <c r="Y42" s="4">
        <v>113714</v>
      </c>
      <c r="Z42" s="4">
        <v>82346</v>
      </c>
      <c r="AA42" s="4" t="s">
        <v>1619</v>
      </c>
      <c r="AB42" s="4" t="s">
        <v>1620</v>
      </c>
    </row>
    <row r="43" spans="1:30">
      <c r="A43" s="4" t="s">
        <v>1485</v>
      </c>
      <c r="B43" s="4">
        <v>63215</v>
      </c>
      <c r="C43" s="4" t="s">
        <v>1351</v>
      </c>
      <c r="D43" s="4" t="s">
        <v>357</v>
      </c>
      <c r="E43" s="5" t="s">
        <v>1621</v>
      </c>
      <c r="F43" s="6" t="str">
        <f>HYPERLINK("https://stat100.ameba.jp/tnk47/ratio20/illustrations/card/ill_63215_yokosukakaigunkare05.jpg", "■")</f>
        <v>■</v>
      </c>
      <c r="G43" s="4" t="s">
        <v>1622</v>
      </c>
      <c r="H43"/>
      <c r="I43"/>
      <c r="J43"/>
      <c r="K43"/>
      <c r="L43"/>
      <c r="M43" s="117"/>
      <c r="N43"/>
      <c r="O43"/>
      <c r="P43"/>
      <c r="Q43"/>
      <c r="R43"/>
      <c r="S43"/>
      <c r="T43"/>
      <c r="U43" t="s">
        <v>3043</v>
      </c>
      <c r="V43" t="s">
        <v>1429</v>
      </c>
      <c r="W43" s="4" t="s">
        <v>1354</v>
      </c>
      <c r="X43" s="4">
        <v>21</v>
      </c>
      <c r="Y43" s="4">
        <v>90777</v>
      </c>
      <c r="Z43" s="4">
        <v>125367</v>
      </c>
      <c r="AA43" s="4" t="s">
        <v>1623</v>
      </c>
      <c r="AB43" s="4" t="s">
        <v>1624</v>
      </c>
    </row>
    <row r="44" spans="1:30">
      <c r="A44" s="4" t="s">
        <v>1491</v>
      </c>
      <c r="B44" s="4">
        <v>63205</v>
      </c>
      <c r="C44" s="4" t="s">
        <v>1441</v>
      </c>
      <c r="D44" s="4" t="s">
        <v>235</v>
      </c>
      <c r="E44" s="5" t="s">
        <v>1625</v>
      </c>
      <c r="F44" s="6" t="str">
        <f>HYPERLINK("https://stat100.ameba.jp/tnk47/ratio20/illustrations/card/ill_63205_ashikagayoshihide05.jpg", "■")</f>
        <v>■</v>
      </c>
      <c r="G44" s="4" t="s">
        <v>1626</v>
      </c>
      <c r="H44"/>
      <c r="I44"/>
      <c r="J44"/>
      <c r="K44"/>
      <c r="L44"/>
      <c r="M44"/>
      <c r="N44"/>
      <c r="O44"/>
      <c r="P44"/>
      <c r="Q44"/>
      <c r="R44"/>
      <c r="S44"/>
      <c r="T44"/>
      <c r="U44" t="s">
        <v>1627</v>
      </c>
      <c r="V44" t="s">
        <v>1429</v>
      </c>
      <c r="W44" s="4" t="s">
        <v>1354</v>
      </c>
      <c r="X44" s="4">
        <v>9</v>
      </c>
      <c r="Y44" s="4">
        <v>44653</v>
      </c>
      <c r="Z44" s="4">
        <v>61669</v>
      </c>
      <c r="AA44" s="4" t="s">
        <v>1628</v>
      </c>
      <c r="AB44" s="4" t="s">
        <v>2209</v>
      </c>
      <c r="AC44" s="4" t="s">
        <v>1629</v>
      </c>
      <c r="AD44" s="4" t="s">
        <v>1630</v>
      </c>
    </row>
    <row r="45" spans="1:30">
      <c r="A45" s="4" t="s">
        <v>1496</v>
      </c>
      <c r="B45" s="4">
        <v>63985</v>
      </c>
      <c r="C45" s="4" t="s">
        <v>1441</v>
      </c>
      <c r="D45" s="4" t="s">
        <v>570</v>
      </c>
      <c r="E45" s="5" t="s">
        <v>1631</v>
      </c>
      <c r="F45" s="6" t="str">
        <f>HYPERLINK("https://stat100.ameba.jp/tnk47/ratio20/illustrations/card/ill_63985_kanotanyu05.jpg", "■")</f>
        <v>■</v>
      </c>
      <c r="G45" s="4" t="s">
        <v>1632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 t="s">
        <v>1429</v>
      </c>
      <c r="V45" t="s">
        <v>1429</v>
      </c>
      <c r="W45" s="4" t="s">
        <v>1093</v>
      </c>
      <c r="X45" s="4">
        <v>21</v>
      </c>
      <c r="Y45" s="4">
        <v>107620</v>
      </c>
      <c r="Z45" s="4">
        <v>77929</v>
      </c>
      <c r="AA45" s="4" t="s">
        <v>1633</v>
      </c>
      <c r="AB45" s="4" t="s">
        <v>2212</v>
      </c>
    </row>
    <row r="46" spans="1:30">
      <c r="A46" s="4" t="s">
        <v>1634</v>
      </c>
      <c r="B46" s="4">
        <v>58305</v>
      </c>
      <c r="C46" s="4" t="s">
        <v>1635</v>
      </c>
      <c r="D46" s="4" t="s">
        <v>357</v>
      </c>
      <c r="E46" s="5" t="s">
        <v>1636</v>
      </c>
      <c r="F46" s="6" t="str">
        <f>HYPERLINK("https://stat100.ameba.jp/tnk47/ratio20/illustrations/card/ill_58305_tamagokakegohanchan05.jpg", "■")</f>
        <v>■</v>
      </c>
      <c r="G46" s="4" t="s">
        <v>1637</v>
      </c>
      <c r="H46"/>
      <c r="I46"/>
      <c r="J46"/>
      <c r="K46"/>
      <c r="L46"/>
      <c r="M46"/>
      <c r="N46"/>
      <c r="O46"/>
      <c r="P46"/>
      <c r="Q46"/>
      <c r="R46"/>
      <c r="S46"/>
      <c r="T46"/>
      <c r="U46" t="s">
        <v>1638</v>
      </c>
      <c r="V46" t="s">
        <v>1429</v>
      </c>
      <c r="W46" s="4" t="s">
        <v>1354</v>
      </c>
      <c r="X46" s="4">
        <v>20</v>
      </c>
      <c r="Y46" s="4">
        <v>103630</v>
      </c>
      <c r="Z46" s="4">
        <v>143122</v>
      </c>
      <c r="AA46" s="4" t="s">
        <v>1639</v>
      </c>
      <c r="AB46" s="4" t="s">
        <v>1640</v>
      </c>
    </row>
    <row r="47" spans="1:30">
      <c r="A47" s="4" t="s">
        <v>1501</v>
      </c>
      <c r="B47" s="4">
        <v>63995</v>
      </c>
      <c r="C47" s="4" t="s">
        <v>1351</v>
      </c>
      <c r="D47" s="4" t="s">
        <v>330</v>
      </c>
      <c r="E47" s="5" t="s">
        <v>1641</v>
      </c>
      <c r="F47" s="6" t="str">
        <f>HYPERLINK("https://stat100.ameba.jp/tnk47/ratio20/illustrations/card/ill_63995_hojohomarehime05.jpg", "■")</f>
        <v>■</v>
      </c>
      <c r="G47" s="4" t="s">
        <v>1642</v>
      </c>
      <c r="H47"/>
      <c r="I47"/>
      <c r="J47"/>
      <c r="K47"/>
      <c r="L47"/>
      <c r="M47"/>
      <c r="N47"/>
      <c r="O47"/>
      <c r="P47"/>
      <c r="Q47"/>
      <c r="R47"/>
      <c r="S47"/>
      <c r="T47"/>
      <c r="U47" t="s">
        <v>1643</v>
      </c>
      <c r="V47" t="s">
        <v>1429</v>
      </c>
      <c r="W47" s="4" t="s">
        <v>1354</v>
      </c>
      <c r="X47" s="4">
        <v>20</v>
      </c>
      <c r="Y47" s="4">
        <v>94026</v>
      </c>
      <c r="Z47" s="4">
        <v>68078</v>
      </c>
      <c r="AA47" s="4" t="s">
        <v>1644</v>
      </c>
      <c r="AB47" s="4" t="s">
        <v>1645</v>
      </c>
    </row>
    <row r="48" spans="1:30">
      <c r="A48" s="4" t="s">
        <v>1506</v>
      </c>
      <c r="B48" s="4">
        <v>64835</v>
      </c>
      <c r="C48" s="4" t="s">
        <v>1351</v>
      </c>
      <c r="D48" s="4" t="s">
        <v>267</v>
      </c>
      <c r="E48" s="5" t="s">
        <v>1646</v>
      </c>
      <c r="F48" s="6" t="str">
        <f>HYPERLINK("https://stat100.ameba.jp/tnk47/ratio20/illustrations/card/ill_64835_okikurumi05.jpg", "■")</f>
        <v>■</v>
      </c>
      <c r="G48" s="4" t="s">
        <v>1647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 t="s">
        <v>1648</v>
      </c>
      <c r="V48" t="s">
        <v>1429</v>
      </c>
      <c r="W48" s="4" t="s">
        <v>1354</v>
      </c>
      <c r="X48" s="4">
        <v>21</v>
      </c>
      <c r="Y48" s="4">
        <v>108272</v>
      </c>
      <c r="Z48" s="4">
        <v>78387</v>
      </c>
      <c r="AA48" s="4" t="s">
        <v>1649</v>
      </c>
      <c r="AB48" s="4" t="s">
        <v>2214</v>
      </c>
      <c r="AD48" s="4" t="s">
        <v>1630</v>
      </c>
    </row>
    <row r="49" spans="1:30">
      <c r="A49" s="4" t="s">
        <v>1650</v>
      </c>
      <c r="B49" s="4">
        <v>64855</v>
      </c>
      <c r="C49" s="4" t="s">
        <v>1351</v>
      </c>
      <c r="D49" s="4" t="s">
        <v>302</v>
      </c>
      <c r="E49" s="5" t="s">
        <v>1651</v>
      </c>
      <c r="F49" s="6" t="str">
        <f>HYPERLINK("https://stat100.ameba.jp/tnk47/ratio20/illustrations/card/ill_64855_janomegasa05.jpg", "■")</f>
        <v>■</v>
      </c>
      <c r="G49" s="4" t="s">
        <v>1652</v>
      </c>
      <c r="H49"/>
      <c r="I49"/>
      <c r="J49"/>
      <c r="K49"/>
      <c r="L49"/>
      <c r="M49" s="13" t="s">
        <v>1569</v>
      </c>
      <c r="N49"/>
      <c r="O49"/>
      <c r="P49"/>
      <c r="Q49"/>
      <c r="R49"/>
      <c r="S49"/>
      <c r="T49"/>
      <c r="U49" t="s">
        <v>1653</v>
      </c>
      <c r="V49" t="s">
        <v>1429</v>
      </c>
      <c r="W49" s="4" t="s">
        <v>1354</v>
      </c>
      <c r="X49" s="4">
        <v>21</v>
      </c>
      <c r="Y49" s="4">
        <v>76280</v>
      </c>
      <c r="Z49" s="4">
        <v>105332</v>
      </c>
      <c r="AA49" s="4" t="s">
        <v>1654</v>
      </c>
      <c r="AB49" s="4" t="s">
        <v>1655</v>
      </c>
    </row>
    <row r="50" spans="1:30">
      <c r="A50" s="4" t="s">
        <v>1512</v>
      </c>
      <c r="B50" s="4">
        <v>64845</v>
      </c>
      <c r="C50" s="4" t="s">
        <v>1441</v>
      </c>
      <c r="D50" s="4" t="s">
        <v>381</v>
      </c>
      <c r="E50" s="5" t="s">
        <v>1656</v>
      </c>
      <c r="F50" s="6" t="str">
        <f>HYPERLINK("https://stat100.ameba.jp/tnk47/ratio20/illustrations/card/ill_64845_mikoza05.jpg", "■")</f>
        <v>■</v>
      </c>
      <c r="G50" s="4" t="s">
        <v>1657</v>
      </c>
      <c r="H50"/>
      <c r="I50"/>
      <c r="J50"/>
      <c r="K50"/>
      <c r="L50"/>
      <c r="M50"/>
      <c r="N50"/>
      <c r="O50"/>
      <c r="P50"/>
      <c r="Q50"/>
      <c r="R50"/>
      <c r="S50"/>
      <c r="T50"/>
      <c r="U50" t="s">
        <v>1658</v>
      </c>
      <c r="V50" t="s">
        <v>1429</v>
      </c>
      <c r="W50" s="4" t="s">
        <v>1354</v>
      </c>
      <c r="X50" s="4">
        <v>21</v>
      </c>
      <c r="Y50" s="4">
        <v>115284</v>
      </c>
      <c r="Z50" s="4">
        <v>83467</v>
      </c>
      <c r="AA50" s="4" t="s">
        <v>1659</v>
      </c>
      <c r="AB50" s="4" t="s">
        <v>1660</v>
      </c>
    </row>
    <row r="51" spans="1:30">
      <c r="A51" s="4" t="s">
        <v>1517</v>
      </c>
      <c r="B51" s="4">
        <v>65595</v>
      </c>
      <c r="C51" s="4" t="s">
        <v>1441</v>
      </c>
      <c r="D51" s="4" t="s">
        <v>89</v>
      </c>
      <c r="E51" s="5" t="s">
        <v>1661</v>
      </c>
      <c r="F51" s="6" t="str">
        <f>HYPERLINK("https://stat100.ameba.jp/tnk47/ratio20/illustrations/card/ill_65595_oyamaiwao05.jpg", "■")</f>
        <v>■</v>
      </c>
      <c r="G51" s="4" t="s">
        <v>1662</v>
      </c>
      <c r="H51"/>
      <c r="I51"/>
      <c r="J51"/>
      <c r="K51"/>
      <c r="L51"/>
      <c r="M51"/>
      <c r="N51"/>
      <c r="O51"/>
      <c r="P51"/>
      <c r="Q51"/>
      <c r="R51"/>
      <c r="S51"/>
      <c r="T51"/>
      <c r="U51" t="s">
        <v>1663</v>
      </c>
      <c r="V51" t="s">
        <v>1429</v>
      </c>
      <c r="W51" s="4" t="s">
        <v>1354</v>
      </c>
      <c r="X51" s="4">
        <v>21</v>
      </c>
      <c r="Y51" s="4">
        <v>75039</v>
      </c>
      <c r="Z51" s="4">
        <v>103652</v>
      </c>
      <c r="AA51" s="4" t="s">
        <v>1664</v>
      </c>
      <c r="AB51" s="4" t="s">
        <v>2430</v>
      </c>
    </row>
    <row r="52" spans="1:30">
      <c r="A52" s="4" t="s">
        <v>1665</v>
      </c>
      <c r="B52" s="4">
        <v>65605</v>
      </c>
      <c r="C52" s="4" t="s">
        <v>1351</v>
      </c>
      <c r="D52" s="4" t="s">
        <v>242</v>
      </c>
      <c r="E52" s="5" t="s">
        <v>1666</v>
      </c>
      <c r="F52" s="6" t="str">
        <f>HYPERLINK("https://stat100.ameba.jp/tnk47/ratio20/illustrations/card/ill_65605_zushio05.jpg", "■")</f>
        <v>■</v>
      </c>
      <c r="G52" s="4" t="s">
        <v>1667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 t="s">
        <v>1668</v>
      </c>
      <c r="V52" t="s">
        <v>1429</v>
      </c>
      <c r="W52" s="4" t="s">
        <v>1354</v>
      </c>
      <c r="X52" s="4">
        <v>21</v>
      </c>
      <c r="Y52" s="4">
        <v>115284</v>
      </c>
      <c r="Z52" s="4">
        <v>83467</v>
      </c>
      <c r="AA52" s="4" t="s">
        <v>1669</v>
      </c>
      <c r="AB52" s="4" t="s">
        <v>2431</v>
      </c>
    </row>
    <row r="53" spans="1:30">
      <c r="A53" s="4" t="s">
        <v>1522</v>
      </c>
      <c r="B53" s="4">
        <v>66165</v>
      </c>
      <c r="C53" s="4" t="s">
        <v>1441</v>
      </c>
      <c r="D53" s="4" t="s">
        <v>101</v>
      </c>
      <c r="E53" s="5" t="s">
        <v>1670</v>
      </c>
      <c r="F53" s="6" t="str">
        <f>HYPERLINK("https://stat100.ameba.jp/tnk47/ratio20/illustrations/card/ill_66165_chosokabekunichika05.jpg", "■")</f>
        <v>■</v>
      </c>
      <c r="G53" s="4" t="s">
        <v>1671</v>
      </c>
      <c r="H53"/>
      <c r="I53"/>
      <c r="J53"/>
      <c r="K53"/>
      <c r="L53"/>
      <c r="M53"/>
      <c r="N53"/>
      <c r="O53"/>
      <c r="P53"/>
      <c r="Q53"/>
      <c r="R53"/>
      <c r="S53"/>
      <c r="T53"/>
      <c r="U53" t="s">
        <v>1672</v>
      </c>
      <c r="V53" t="s">
        <v>1429</v>
      </c>
      <c r="W53" s="4" t="s">
        <v>1354</v>
      </c>
      <c r="X53" s="4">
        <v>21</v>
      </c>
      <c r="Y53" s="4">
        <v>150278</v>
      </c>
      <c r="Z53" s="4">
        <v>108811</v>
      </c>
      <c r="AA53" s="4" t="s">
        <v>1673</v>
      </c>
      <c r="AB53" s="4" t="s">
        <v>1674</v>
      </c>
    </row>
    <row r="54" spans="1:30">
      <c r="A54" s="4" t="s">
        <v>1526</v>
      </c>
      <c r="B54" s="4">
        <v>66295</v>
      </c>
      <c r="C54" s="4" t="s">
        <v>1441</v>
      </c>
      <c r="D54" s="4" t="s">
        <v>267</v>
      </c>
      <c r="E54" s="5" t="s">
        <v>1675</v>
      </c>
      <c r="F54" s="6" t="str">
        <f>HYPERLINK("https://stat100.ameba.jp/tnk47/ratio20/illustrations/card/ill_66295_kumanofusuminokami05.jpg", "■")</f>
        <v>■</v>
      </c>
      <c r="G54" s="4" t="s">
        <v>1676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 t="s">
        <v>1677</v>
      </c>
      <c r="V54" t="s">
        <v>1429</v>
      </c>
      <c r="W54" s="4" t="s">
        <v>1354</v>
      </c>
      <c r="X54" s="4">
        <v>20</v>
      </c>
      <c r="Y54" s="4">
        <v>103116</v>
      </c>
      <c r="Z54" s="4">
        <v>74656</v>
      </c>
      <c r="AA54" s="4" t="s">
        <v>1678</v>
      </c>
      <c r="AB54" s="4" t="s">
        <v>1679</v>
      </c>
    </row>
    <row r="55" spans="1:30">
      <c r="A55" s="4" t="s">
        <v>1680</v>
      </c>
      <c r="B55" s="4">
        <v>66305</v>
      </c>
      <c r="C55" s="4" t="s">
        <v>1351</v>
      </c>
      <c r="D55" s="4" t="s">
        <v>229</v>
      </c>
      <c r="E55" s="5" t="s">
        <v>1681</v>
      </c>
      <c r="F55" s="6" t="str">
        <f>HYPERLINK("https://stat100.ameba.jp/tnk47/ratio20/illustrations/card/ill_66305_irohazaka05.jpg", "■")</f>
        <v>■</v>
      </c>
      <c r="G55" s="4" t="s">
        <v>1682</v>
      </c>
      <c r="H55"/>
      <c r="I55"/>
      <c r="J55"/>
      <c r="K55"/>
      <c r="L55" s="117"/>
      <c r="M55" s="117"/>
      <c r="N55"/>
      <c r="O55"/>
      <c r="P55"/>
      <c r="Q55"/>
      <c r="R55"/>
      <c r="S55"/>
      <c r="T55"/>
      <c r="U55" t="s">
        <v>3041</v>
      </c>
      <c r="V55" t="s">
        <v>1429</v>
      </c>
      <c r="W55" s="4" t="s">
        <v>1354</v>
      </c>
      <c r="X55" s="4">
        <v>21</v>
      </c>
      <c r="Y55" s="4">
        <v>77804</v>
      </c>
      <c r="Z55" s="4">
        <v>107439</v>
      </c>
      <c r="AA55" s="4" t="s">
        <v>1683</v>
      </c>
      <c r="AB55" s="4" t="s">
        <v>1684</v>
      </c>
    </row>
    <row r="56" spans="1:30">
      <c r="A56" s="4" t="s">
        <v>1529</v>
      </c>
      <c r="B56" s="4">
        <v>66315</v>
      </c>
      <c r="C56" s="4" t="s">
        <v>1441</v>
      </c>
      <c r="D56" s="4" t="s">
        <v>330</v>
      </c>
      <c r="E56" s="5" t="s">
        <v>1685</v>
      </c>
      <c r="F56" s="6" t="str">
        <f>HYPERLINK("https://stat100.ameba.jp/tnk47/ratio20/illustrations/card/ill_66315_madenokojinotsubone05.jpg", "■")</f>
        <v>■</v>
      </c>
      <c r="G56" s="4" t="s">
        <v>1686</v>
      </c>
      <c r="H56"/>
      <c r="I56"/>
      <c r="J56"/>
      <c r="K56"/>
      <c r="L56"/>
      <c r="M56"/>
      <c r="N56"/>
      <c r="O56"/>
      <c r="P56"/>
      <c r="Q56"/>
      <c r="R56"/>
      <c r="S56"/>
      <c r="T56"/>
      <c r="U56" t="s">
        <v>1687</v>
      </c>
      <c r="V56" t="s">
        <v>1429</v>
      </c>
      <c r="W56" s="4" t="s">
        <v>1354</v>
      </c>
      <c r="X56" s="4">
        <v>21</v>
      </c>
      <c r="Y56" s="4">
        <v>71481</v>
      </c>
      <c r="Z56" s="4">
        <v>98728</v>
      </c>
      <c r="AA56" s="4" t="s">
        <v>1688</v>
      </c>
      <c r="AB56" s="4" t="s">
        <v>2215</v>
      </c>
    </row>
    <row r="57" spans="1:30">
      <c r="A57" s="4" t="s">
        <v>1689</v>
      </c>
      <c r="B57" s="4">
        <v>67055</v>
      </c>
      <c r="C57" s="4" t="s">
        <v>1441</v>
      </c>
      <c r="D57" s="4" t="s">
        <v>216</v>
      </c>
      <c r="E57" s="5" t="s">
        <v>1690</v>
      </c>
      <c r="F57" s="6" t="str">
        <f>HYPERLINK("https://stat100.ameba.jp/tnk47/ratio20/illustrations/card/ill_67055_raden05.jpg", "■")</f>
        <v>■</v>
      </c>
      <c r="G57" s="4" t="s">
        <v>1691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 t="s">
        <v>1692</v>
      </c>
      <c r="V57" t="s">
        <v>1429</v>
      </c>
      <c r="W57" s="4" t="s">
        <v>1354</v>
      </c>
      <c r="X57" s="4">
        <v>20</v>
      </c>
      <c r="Y57" s="4">
        <v>107426</v>
      </c>
      <c r="Z57" s="4">
        <v>77796</v>
      </c>
      <c r="AA57" s="4" t="s">
        <v>1693</v>
      </c>
      <c r="AB57" s="4" t="s">
        <v>2216</v>
      </c>
      <c r="AC57" s="4" t="s">
        <v>1629</v>
      </c>
      <c r="AD57" s="4" t="s">
        <v>1694</v>
      </c>
    </row>
    <row r="58" spans="1:30">
      <c r="A58" s="4" t="s">
        <v>1695</v>
      </c>
      <c r="B58" s="4">
        <v>67075</v>
      </c>
      <c r="C58" s="4" t="s">
        <v>1351</v>
      </c>
      <c r="D58" s="4" t="s">
        <v>295</v>
      </c>
      <c r="E58" s="5" t="s">
        <v>1696</v>
      </c>
      <c r="F58" s="6" t="str">
        <f>HYPERLINK("https://stat100.ameba.jp/tnk47/ratio20/illustrations/card/ill_67075_minamotononoriyori05.jpg", "■")</f>
        <v>■</v>
      </c>
      <c r="G58" s="4" t="s">
        <v>1697</v>
      </c>
      <c r="H58"/>
      <c r="I58"/>
      <c r="J58"/>
      <c r="K58"/>
      <c r="L58"/>
      <c r="M58"/>
      <c r="N58"/>
      <c r="O58"/>
      <c r="P58"/>
      <c r="Q58"/>
      <c r="R58"/>
      <c r="S58"/>
      <c r="T58"/>
      <c r="U58" t="s">
        <v>1698</v>
      </c>
      <c r="V58" t="s">
        <v>1429</v>
      </c>
      <c r="W58" s="4" t="s">
        <v>1354</v>
      </c>
      <c r="X58" s="4">
        <v>21</v>
      </c>
      <c r="Y58" s="4">
        <v>108811</v>
      </c>
      <c r="Z58" s="4">
        <v>150278</v>
      </c>
      <c r="AA58" s="4" t="s">
        <v>1699</v>
      </c>
      <c r="AB58" s="4" t="s">
        <v>1700</v>
      </c>
    </row>
    <row r="59" spans="1:30">
      <c r="A59" s="4" t="s">
        <v>1540</v>
      </c>
      <c r="B59" s="4">
        <v>67065</v>
      </c>
      <c r="C59" s="4" t="s">
        <v>1441</v>
      </c>
      <c r="D59" s="4" t="s">
        <v>468</v>
      </c>
      <c r="E59" s="5" t="s">
        <v>1701</v>
      </c>
      <c r="F59" s="6" t="str">
        <f>HYPERLINK("https://stat100.ameba.jp/tnk47/ratio20/illustrations/card/ill_67065_kanoeitoku05.jpg", "■")</f>
        <v>■</v>
      </c>
      <c r="G59" s="4" t="s">
        <v>1702</v>
      </c>
      <c r="H59"/>
      <c r="I59"/>
      <c r="J59"/>
      <c r="K59"/>
      <c r="L59"/>
      <c r="M59"/>
      <c r="N59"/>
      <c r="O59"/>
      <c r="P59"/>
      <c r="Q59"/>
      <c r="R59"/>
      <c r="S59"/>
      <c r="T59"/>
      <c r="U59" t="s">
        <v>1703</v>
      </c>
      <c r="V59" t="s">
        <v>1429</v>
      </c>
      <c r="W59" s="4" t="s">
        <v>1354</v>
      </c>
      <c r="X59" s="4">
        <v>20</v>
      </c>
      <c r="Y59" s="4">
        <v>70690</v>
      </c>
      <c r="Z59" s="4">
        <v>97632</v>
      </c>
      <c r="AA59" s="4" t="s">
        <v>1704</v>
      </c>
      <c r="AB59" s="4" t="s">
        <v>1328</v>
      </c>
    </row>
    <row r="60" spans="1:30">
      <c r="A60" s="4" t="s">
        <v>1705</v>
      </c>
      <c r="B60" s="4">
        <v>67895</v>
      </c>
      <c r="C60" s="4" t="s">
        <v>1351</v>
      </c>
      <c r="D60" s="4" t="s">
        <v>248</v>
      </c>
      <c r="E60" s="5" t="s">
        <v>1706</v>
      </c>
      <c r="F60" s="6" t="str">
        <f>HYPERLINK("https://stat100.ameba.jp/tnk47/ratio20/illustrations/card/ill_67895_misonikomiudon05.jpg", "■")</f>
        <v>■</v>
      </c>
      <c r="G60" s="4" t="s">
        <v>1707</v>
      </c>
      <c r="H60"/>
      <c r="I60"/>
      <c r="J60"/>
      <c r="K60"/>
      <c r="L60"/>
      <c r="M60"/>
      <c r="N60"/>
      <c r="O60"/>
      <c r="P60" s="117"/>
      <c r="Q60"/>
      <c r="R60"/>
      <c r="S60"/>
      <c r="T60"/>
      <c r="U60" t="s">
        <v>3040</v>
      </c>
      <c r="V60" t="s">
        <v>1429</v>
      </c>
      <c r="W60" s="4" t="s">
        <v>1354</v>
      </c>
      <c r="X60" s="4">
        <v>21</v>
      </c>
      <c r="Y60" s="4">
        <v>90777</v>
      </c>
      <c r="Z60" s="4">
        <v>125367</v>
      </c>
      <c r="AA60" s="4" t="s">
        <v>1708</v>
      </c>
      <c r="AB60" s="4" t="s">
        <v>1709</v>
      </c>
    </row>
    <row r="61" spans="1:30">
      <c r="A61" s="4" t="s">
        <v>1710</v>
      </c>
      <c r="B61" s="4">
        <v>67915</v>
      </c>
      <c r="C61" s="4" t="s">
        <v>1351</v>
      </c>
      <c r="D61" s="4" t="s">
        <v>203</v>
      </c>
      <c r="E61" s="5" t="s">
        <v>1711</v>
      </c>
      <c r="F61" s="6" t="str">
        <f>HYPERLINK("https://stat100.ameba.jp/tnk47/ratio20/illustrations/card/ill_67915_kyokuteibakin05.jpg", "■")</f>
        <v>■</v>
      </c>
      <c r="G61" s="4" t="s">
        <v>1712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 t="s">
        <v>1713</v>
      </c>
      <c r="V61" t="s">
        <v>1429</v>
      </c>
      <c r="W61" s="4" t="s">
        <v>1354</v>
      </c>
      <c r="X61" s="4">
        <v>21</v>
      </c>
      <c r="Y61" s="4">
        <v>102515</v>
      </c>
      <c r="Z61" s="4">
        <v>74225</v>
      </c>
      <c r="AA61" s="4" t="s">
        <v>1714</v>
      </c>
      <c r="AB61" s="4" t="s">
        <v>1715</v>
      </c>
    </row>
    <row r="62" spans="1:30">
      <c r="A62" s="4" t="s">
        <v>1551</v>
      </c>
      <c r="B62" s="4">
        <v>67905</v>
      </c>
      <c r="C62" s="4" t="s">
        <v>1441</v>
      </c>
      <c r="D62" s="4" t="s">
        <v>308</v>
      </c>
      <c r="E62" s="5" t="s">
        <v>1716</v>
      </c>
      <c r="F62" s="6" t="str">
        <f>HYPERLINK("https://stat100.ameba.jp/tnk47/ratio20/illustrations/card/ill_67905_yokoin05.jpg", "■")</f>
        <v>■</v>
      </c>
      <c r="G62" s="4" t="s">
        <v>1717</v>
      </c>
      <c r="H62"/>
      <c r="I62"/>
      <c r="J62"/>
      <c r="K62"/>
      <c r="L62"/>
      <c r="M62"/>
      <c r="N62"/>
      <c r="O62"/>
      <c r="P62"/>
      <c r="Q62"/>
      <c r="R62"/>
      <c r="S62"/>
      <c r="T62"/>
      <c r="U62" t="s">
        <v>1718</v>
      </c>
      <c r="V62" t="s">
        <v>1429</v>
      </c>
      <c r="W62" s="4" t="s">
        <v>1354</v>
      </c>
      <c r="X62" s="4">
        <v>21</v>
      </c>
      <c r="Y62" s="4">
        <v>98728</v>
      </c>
      <c r="Z62" s="4">
        <v>71481</v>
      </c>
      <c r="AA62" s="4" t="s">
        <v>1719</v>
      </c>
      <c r="AB62" s="4" t="s">
        <v>1720</v>
      </c>
    </row>
    <row r="64" spans="1:30">
      <c r="A64" s="4" t="s">
        <v>1721</v>
      </c>
    </row>
    <row r="65" spans="1:28">
      <c r="A65" s="4" t="s">
        <v>1722</v>
      </c>
      <c r="B65" s="4">
        <v>68645</v>
      </c>
      <c r="C65" s="4" t="s">
        <v>1441</v>
      </c>
      <c r="D65" s="4" t="s">
        <v>242</v>
      </c>
      <c r="E65" s="5" t="s">
        <v>1723</v>
      </c>
      <c r="F65" s="6" t="str">
        <f>HYPERLINK("https://stat100.ameba.jp/tnk47/ratio20/illustrations/card/ill_68645_miminashihoichi05.jpg", "■")</f>
        <v>■</v>
      </c>
      <c r="G65" s="4" t="s">
        <v>1724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 t="s">
        <v>2295</v>
      </c>
      <c r="V65" t="s">
        <v>1429</v>
      </c>
      <c r="W65" s="20" t="s">
        <v>1354</v>
      </c>
      <c r="X65" s="4">
        <v>21</v>
      </c>
      <c r="Y65" s="4">
        <v>87631</v>
      </c>
      <c r="Z65" s="4">
        <v>121049</v>
      </c>
      <c r="AA65" s="4" t="s">
        <v>1725</v>
      </c>
      <c r="AB65" s="4" t="s">
        <v>1726</v>
      </c>
    </row>
    <row r="66" spans="1:28">
      <c r="A66" s="4" t="s">
        <v>1727</v>
      </c>
      <c r="B66" s="4">
        <v>68665</v>
      </c>
      <c r="C66" s="4" t="s">
        <v>1728</v>
      </c>
      <c r="D66" s="4" t="s">
        <v>308</v>
      </c>
      <c r="E66" s="5" t="s">
        <v>1729</v>
      </c>
      <c r="F66" s="6" t="str">
        <f>HYPERLINK("https://stat100.ameba.jp/tnk47/ratio20/illustrations/card/ill_68665_matsushitaotome05.jpg", "■")</f>
        <v>■</v>
      </c>
      <c r="G66" s="4" t="s">
        <v>1730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 t="s">
        <v>1731</v>
      </c>
      <c r="V66" t="s">
        <v>1429</v>
      </c>
      <c r="W66" s="4" t="s">
        <v>1354</v>
      </c>
      <c r="X66" s="4">
        <v>21</v>
      </c>
      <c r="Y66" s="4">
        <v>71481</v>
      </c>
      <c r="Z66" s="4">
        <v>98728</v>
      </c>
      <c r="AA66" s="4" t="s">
        <v>1732</v>
      </c>
      <c r="AB66" s="4" t="s">
        <v>1733</v>
      </c>
    </row>
    <row r="67" spans="1:28">
      <c r="A67" s="4" t="s">
        <v>1433</v>
      </c>
      <c r="B67" s="4">
        <v>68655</v>
      </c>
      <c r="C67" s="4" t="s">
        <v>1734</v>
      </c>
      <c r="D67" s="4" t="s">
        <v>248</v>
      </c>
      <c r="E67" s="5" t="s">
        <v>1735</v>
      </c>
      <c r="F67" s="6" t="str">
        <f>HYPERLINK("https://stat100.ameba.jp/tnk47/ratio20/illustrations/card/ill_68655_hariharinabe05.jpg", "■")</f>
        <v>■</v>
      </c>
      <c r="G67" s="4" t="s">
        <v>1736</v>
      </c>
      <c r="H67"/>
      <c r="I67"/>
      <c r="J67"/>
      <c r="K67"/>
      <c r="L67"/>
      <c r="M67"/>
      <c r="N67"/>
      <c r="O67"/>
      <c r="P67"/>
      <c r="Q67"/>
      <c r="R67"/>
      <c r="S67"/>
      <c r="T67"/>
      <c r="U67" t="s">
        <v>1737</v>
      </c>
      <c r="V67" t="s">
        <v>1429</v>
      </c>
      <c r="W67" s="4" t="s">
        <v>1354</v>
      </c>
      <c r="X67" s="4">
        <v>21</v>
      </c>
      <c r="Y67" s="4">
        <v>105332</v>
      </c>
      <c r="Z67" s="4">
        <v>76280</v>
      </c>
      <c r="AA67" s="4" t="s">
        <v>1738</v>
      </c>
      <c r="AB67" s="4" t="s">
        <v>1739</v>
      </c>
    </row>
    <row r="68" spans="1:28">
      <c r="A68" s="4" t="s">
        <v>1740</v>
      </c>
      <c r="B68" s="4">
        <v>69465</v>
      </c>
      <c r="C68" s="4" t="s">
        <v>1441</v>
      </c>
      <c r="D68" s="4" t="s">
        <v>302</v>
      </c>
      <c r="E68" s="5" t="s">
        <v>1741</v>
      </c>
      <c r="F68" s="6" t="str">
        <f>HYPERLINK("https://stat100.ameba.jp/tnk47/ratio20/illustrations/card/ill_69465_kinnokaminohi05.jpg", "■")</f>
        <v>■</v>
      </c>
      <c r="G68" s="4" t="s">
        <v>1742</v>
      </c>
      <c r="H68"/>
      <c r="I68"/>
      <c r="J68"/>
      <c r="K68"/>
      <c r="L68"/>
      <c r="M68"/>
      <c r="N68"/>
      <c r="O68"/>
      <c r="P68"/>
      <c r="Q68"/>
      <c r="R68"/>
      <c r="S68"/>
      <c r="T68"/>
      <c r="U68" t="s">
        <v>1743</v>
      </c>
      <c r="V68" t="s">
        <v>1429</v>
      </c>
      <c r="W68" s="4" t="s">
        <v>1354</v>
      </c>
      <c r="X68" s="4">
        <v>21</v>
      </c>
      <c r="Y68" s="4">
        <v>65333</v>
      </c>
      <c r="Z68" s="4">
        <v>47990</v>
      </c>
      <c r="AA68" s="4" t="s">
        <v>1744</v>
      </c>
      <c r="AB68" s="4" t="s">
        <v>1745</v>
      </c>
    </row>
    <row r="69" spans="1:28">
      <c r="A69" s="4" t="s">
        <v>1746</v>
      </c>
      <c r="B69" s="4">
        <v>69475</v>
      </c>
      <c r="C69" s="4" t="s">
        <v>1351</v>
      </c>
      <c r="D69" s="4" t="s">
        <v>267</v>
      </c>
      <c r="E69" s="5" t="s">
        <v>1747</v>
      </c>
      <c r="F69" s="6" t="str">
        <f>HYPERLINK("https://stat100.ameba.jp/tnk47/ratio20/illustrations/card/ill_69475_yukkorukamui05.jpg", "■")</f>
        <v>■</v>
      </c>
      <c r="G69" s="4" t="s">
        <v>1748</v>
      </c>
      <c r="H69"/>
      <c r="I69"/>
      <c r="J69"/>
      <c r="K69"/>
      <c r="L69"/>
      <c r="M69"/>
      <c r="N69"/>
      <c r="O69"/>
      <c r="P69"/>
      <c r="Q69"/>
      <c r="R69"/>
      <c r="S69"/>
      <c r="T69"/>
      <c r="U69" t="s">
        <v>1749</v>
      </c>
      <c r="V69" t="s">
        <v>1429</v>
      </c>
      <c r="W69" s="4" t="s">
        <v>1354</v>
      </c>
      <c r="X69" s="4">
        <v>21</v>
      </c>
      <c r="Y69" s="4">
        <v>71481</v>
      </c>
      <c r="Z69" s="4">
        <v>98728</v>
      </c>
      <c r="AA69" s="4" t="s">
        <v>1750</v>
      </c>
      <c r="AB69" s="4" t="s">
        <v>1751</v>
      </c>
    </row>
    <row r="70" spans="1:28">
      <c r="A70" s="4" t="s">
        <v>1447</v>
      </c>
      <c r="B70" s="4">
        <v>55735</v>
      </c>
      <c r="C70" s="4" t="s">
        <v>1351</v>
      </c>
      <c r="D70" s="4" t="s">
        <v>272</v>
      </c>
      <c r="E70" s="5" t="s">
        <v>1752</v>
      </c>
      <c r="F70" s="6" t="str">
        <f>HYPERLINK("https://stat100.ameba.jp/tnk47/ratio20/illustrations/card/ill_55735_egawahidetatsu05.jpg", "■")</f>
        <v>■</v>
      </c>
      <c r="G70" s="4" t="s">
        <v>1753</v>
      </c>
      <c r="H70"/>
      <c r="I70"/>
      <c r="J70"/>
      <c r="K70"/>
      <c r="L70"/>
      <c r="M70"/>
      <c r="N70"/>
      <c r="O70"/>
      <c r="P70"/>
      <c r="Q70"/>
      <c r="R70"/>
      <c r="S70"/>
      <c r="T70"/>
      <c r="U70" t="s">
        <v>1754</v>
      </c>
      <c r="V70" t="s">
        <v>1429</v>
      </c>
      <c r="W70" s="4" t="s">
        <v>1354</v>
      </c>
      <c r="X70" s="4">
        <v>21</v>
      </c>
      <c r="Y70" s="4">
        <v>108811</v>
      </c>
      <c r="Z70" s="4">
        <v>150278</v>
      </c>
      <c r="AA70" s="4" t="s">
        <v>1755</v>
      </c>
      <c r="AB70" s="4" t="s">
        <v>1756</v>
      </c>
    </row>
    <row r="71" spans="1:28">
      <c r="A71" s="4" t="s">
        <v>1757</v>
      </c>
      <c r="B71" s="4">
        <v>70335</v>
      </c>
      <c r="C71" s="4" t="s">
        <v>1441</v>
      </c>
      <c r="D71" s="4" t="s">
        <v>295</v>
      </c>
      <c r="E71" s="5" t="s">
        <v>1758</v>
      </c>
      <c r="F71" s="6" t="str">
        <f>HYPERLINK("https://stat100.ameba.jp/tnk47/ratio20/illustrations/card/ill_70335_kusakagenzui05.jpg", "■")</f>
        <v>■</v>
      </c>
      <c r="G71" s="4" t="s">
        <v>1759</v>
      </c>
      <c r="H71"/>
      <c r="I71"/>
      <c r="J71"/>
      <c r="K71"/>
      <c r="L71"/>
      <c r="M71"/>
      <c r="N71"/>
      <c r="O71"/>
      <c r="P71"/>
      <c r="Q71"/>
      <c r="R71"/>
      <c r="S71"/>
      <c r="T71"/>
      <c r="U71" t="s">
        <v>1760</v>
      </c>
      <c r="V71" t="s">
        <v>1429</v>
      </c>
      <c r="W71" s="4" t="s">
        <v>1354</v>
      </c>
      <c r="X71" s="4">
        <v>21</v>
      </c>
      <c r="Y71" s="4">
        <v>80088</v>
      </c>
      <c r="Z71" s="4">
        <v>110589</v>
      </c>
      <c r="AA71" s="4" t="s">
        <v>1761</v>
      </c>
      <c r="AB71" s="4" t="s">
        <v>1762</v>
      </c>
    </row>
    <row r="72" spans="1:28">
      <c r="A72" s="4" t="s">
        <v>1763</v>
      </c>
      <c r="B72" s="4">
        <v>58985</v>
      </c>
      <c r="C72" s="4" t="s">
        <v>1351</v>
      </c>
      <c r="D72" s="4" t="s">
        <v>216</v>
      </c>
      <c r="E72" s="5" t="s">
        <v>1764</v>
      </c>
      <c r="F72" s="6" t="str">
        <f>HYPERLINK("https://stat100.ameba.jp/tnk47/ratio20/illustrations/card/ill_58985_nanachanningyo05.jpg", "■")</f>
        <v>■</v>
      </c>
      <c r="G72" s="4" t="s">
        <v>1765</v>
      </c>
      <c r="H72"/>
      <c r="I72"/>
      <c r="J72"/>
      <c r="K72"/>
      <c r="L72"/>
      <c r="M72"/>
      <c r="N72"/>
      <c r="O72"/>
      <c r="P72"/>
      <c r="Q72"/>
      <c r="R72"/>
      <c r="S72"/>
      <c r="T72"/>
      <c r="U72" t="s">
        <v>1766</v>
      </c>
      <c r="V72" t="s">
        <v>1429</v>
      </c>
      <c r="W72" s="4" t="s">
        <v>1354</v>
      </c>
      <c r="X72" s="4">
        <v>21</v>
      </c>
      <c r="Y72" s="4">
        <v>115636</v>
      </c>
      <c r="Z72" s="4">
        <v>83723</v>
      </c>
      <c r="AA72" s="4" t="s">
        <v>1767</v>
      </c>
      <c r="AB72" s="4" t="s">
        <v>1768</v>
      </c>
    </row>
    <row r="73" spans="1:28">
      <c r="A73" s="4" t="s">
        <v>1458</v>
      </c>
      <c r="B73" s="4">
        <v>59805</v>
      </c>
      <c r="C73" s="4" t="s">
        <v>1441</v>
      </c>
      <c r="D73" s="4" t="s">
        <v>248</v>
      </c>
      <c r="E73" s="5" t="s">
        <v>1769</v>
      </c>
      <c r="F73" s="6" t="str">
        <f>HYPERLINK("https://stat100.ameba.jp/tnk47/ratio20/illustrations/card/ill_59805_mikanhachimitsuchan05.jpg", "■")</f>
        <v>■</v>
      </c>
      <c r="G73" s="4" t="s">
        <v>1770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 t="s">
        <v>1771</v>
      </c>
      <c r="W73" s="20" t="s">
        <v>1354</v>
      </c>
      <c r="X73" s="4">
        <v>21</v>
      </c>
      <c r="Y73" s="4">
        <v>86463</v>
      </c>
      <c r="Z73" s="4">
        <v>119400</v>
      </c>
      <c r="AA73" s="4" t="s">
        <v>1772</v>
      </c>
      <c r="AB73" s="4" t="s">
        <v>1773</v>
      </c>
    </row>
    <row r="74" spans="1:28">
      <c r="A74" s="4" t="s">
        <v>1774</v>
      </c>
      <c r="B74" s="4">
        <v>71265</v>
      </c>
      <c r="C74" s="4" t="s">
        <v>1351</v>
      </c>
      <c r="D74" s="4" t="s">
        <v>295</v>
      </c>
      <c r="E74" s="5" t="s">
        <v>1775</v>
      </c>
      <c r="F74" s="6" t="str">
        <f>HYPERLINK("https://stat100.ameba.jp/tnk47/ratio20/illustrations/card/ill_71265_kisoyoshinaka05.jpg", "■")</f>
        <v>■</v>
      </c>
      <c r="G74" s="4" t="s">
        <v>1776</v>
      </c>
      <c r="H74"/>
      <c r="I74"/>
      <c r="J74"/>
      <c r="K74"/>
      <c r="L74"/>
      <c r="M74"/>
      <c r="N74"/>
      <c r="O74"/>
      <c r="P74"/>
      <c r="Q74"/>
      <c r="R74"/>
      <c r="S74"/>
      <c r="T74"/>
      <c r="U74" t="s">
        <v>1777</v>
      </c>
      <c r="V74" t="s">
        <v>1429</v>
      </c>
      <c r="W74" s="4" t="s">
        <v>1354</v>
      </c>
      <c r="X74" s="4">
        <v>21</v>
      </c>
      <c r="Y74" s="4">
        <v>157769</v>
      </c>
      <c r="Z74" s="4">
        <v>114241</v>
      </c>
      <c r="AA74" s="4" t="s">
        <v>1778</v>
      </c>
      <c r="AB74" s="4" t="s">
        <v>1779</v>
      </c>
    </row>
    <row r="75" spans="1:28">
      <c r="A75" s="4" t="s">
        <v>1780</v>
      </c>
      <c r="B75" s="4">
        <v>71285</v>
      </c>
      <c r="C75" s="4" t="s">
        <v>1441</v>
      </c>
      <c r="D75" s="4" t="s">
        <v>267</v>
      </c>
      <c r="E75" s="5" t="s">
        <v>1781</v>
      </c>
      <c r="F75" s="6" t="str">
        <f>HYPERLINK("https://stat100.ameba.jp/tnk47/ratio20/illustrations/card/ill_71285_amenowakahiko05.jpg", "■")</f>
        <v>■</v>
      </c>
      <c r="G75" s="4" t="s">
        <v>1782</v>
      </c>
      <c r="H75"/>
      <c r="I75"/>
      <c r="J75"/>
      <c r="K75"/>
      <c r="L75"/>
      <c r="M75"/>
      <c r="N75"/>
      <c r="O75"/>
      <c r="P75"/>
      <c r="Q75"/>
      <c r="R75"/>
      <c r="S75"/>
      <c r="T75"/>
      <c r="U75" t="s">
        <v>1783</v>
      </c>
      <c r="V75" t="s">
        <v>1429</v>
      </c>
      <c r="W75" s="4" t="s">
        <v>1354</v>
      </c>
      <c r="X75" s="4">
        <v>21</v>
      </c>
      <c r="Y75" s="4">
        <v>59468</v>
      </c>
      <c r="Z75" s="4">
        <v>82133</v>
      </c>
      <c r="AA75" s="4" t="s">
        <v>1784</v>
      </c>
      <c r="AB75" s="4" t="s">
        <v>1785</v>
      </c>
    </row>
    <row r="76" spans="1:28">
      <c r="A76" s="4" t="s">
        <v>1469</v>
      </c>
      <c r="B76" s="4">
        <v>71275</v>
      </c>
      <c r="C76" s="4" t="s">
        <v>1351</v>
      </c>
      <c r="D76" s="4" t="s">
        <v>242</v>
      </c>
      <c r="E76" s="5" t="s">
        <v>1786</v>
      </c>
      <c r="F76" s="6" t="str">
        <f>HYPERLINK("https://stat100.ameba.jp/tnk47/ratio20/illustrations/card/ill_71275_usagitokame05.jpg", "■")</f>
        <v>■</v>
      </c>
      <c r="G76" s="4" t="s">
        <v>1786</v>
      </c>
      <c r="H76"/>
      <c r="I76"/>
      <c r="J76"/>
      <c r="K76"/>
      <c r="L76"/>
      <c r="M76"/>
      <c r="N76"/>
      <c r="O76"/>
      <c r="P76"/>
      <c r="Q76"/>
      <c r="R76"/>
      <c r="S76"/>
      <c r="T76"/>
      <c r="U76" t="s">
        <v>1787</v>
      </c>
      <c r="V76" t="s">
        <v>1429</v>
      </c>
      <c r="W76" s="4" t="s">
        <v>1354</v>
      </c>
      <c r="X76" s="4">
        <v>21</v>
      </c>
      <c r="Y76" s="4">
        <v>83467</v>
      </c>
      <c r="Z76" s="4">
        <v>115284</v>
      </c>
      <c r="AA76" s="4" t="s">
        <v>1788</v>
      </c>
      <c r="AB76" s="4" t="s">
        <v>1789</v>
      </c>
    </row>
    <row r="77" spans="1:28">
      <c r="A77" s="4" t="s">
        <v>1790</v>
      </c>
      <c r="B77" s="4">
        <v>72135</v>
      </c>
      <c r="C77" s="4" t="s">
        <v>1351</v>
      </c>
      <c r="D77" s="4" t="s">
        <v>203</v>
      </c>
      <c r="E77" s="5" t="s">
        <v>1791</v>
      </c>
      <c r="F77" s="6" t="str">
        <f>HYPERLINK("https://stat100.ameba.jp/tnk47/ratio20/illustrations/card/ill_72135_murayamasakon05.jpg", "■")</f>
        <v>■</v>
      </c>
      <c r="G77" s="4" t="s">
        <v>1792</v>
      </c>
      <c r="H77"/>
      <c r="I77"/>
      <c r="J77"/>
      <c r="K77"/>
      <c r="L77"/>
      <c r="M77"/>
      <c r="N77"/>
      <c r="O77"/>
      <c r="P77"/>
      <c r="Q77"/>
      <c r="R77"/>
      <c r="S77"/>
      <c r="T77"/>
      <c r="U77" t="s">
        <v>1793</v>
      </c>
      <c r="V77" t="s">
        <v>1429</v>
      </c>
      <c r="W77" s="20" t="s">
        <v>1354</v>
      </c>
      <c r="X77" s="4">
        <v>21</v>
      </c>
      <c r="Y77" s="4">
        <v>74225</v>
      </c>
      <c r="Z77" s="4">
        <v>102515</v>
      </c>
      <c r="AA77" s="4" t="s">
        <v>1794</v>
      </c>
      <c r="AB77" s="4" t="s">
        <v>1795</v>
      </c>
    </row>
    <row r="78" spans="1:28">
      <c r="A78" s="4" t="s">
        <v>1796</v>
      </c>
      <c r="B78" s="4">
        <v>72125</v>
      </c>
      <c r="C78" s="4" t="s">
        <v>1441</v>
      </c>
      <c r="D78" s="4" t="s">
        <v>272</v>
      </c>
      <c r="E78" s="5" t="s">
        <v>1797</v>
      </c>
      <c r="F78" s="6" t="str">
        <f>HYPERLINK("https://stat100.ameba.jp/tnk47/ratio20/illustrations/card/ill_72125_hayashirazan05.jpg", "■")</f>
        <v>■</v>
      </c>
      <c r="G78" s="4" t="s">
        <v>1798</v>
      </c>
      <c r="H78"/>
      <c r="I78"/>
      <c r="J78"/>
      <c r="K78"/>
      <c r="L78"/>
      <c r="M78"/>
      <c r="N78"/>
      <c r="O78"/>
      <c r="P78"/>
      <c r="Q78"/>
      <c r="R78"/>
      <c r="S78"/>
      <c r="T78"/>
      <c r="U78" t="s">
        <v>1799</v>
      </c>
      <c r="V78" t="s">
        <v>1429</v>
      </c>
      <c r="W78" s="4" t="s">
        <v>1354</v>
      </c>
      <c r="X78" s="4">
        <v>21</v>
      </c>
      <c r="Y78" s="4">
        <v>115284</v>
      </c>
      <c r="Z78" s="4">
        <v>83467</v>
      </c>
      <c r="AA78" s="4" t="s">
        <v>1800</v>
      </c>
      <c r="AB78" s="4" t="s">
        <v>1801</v>
      </c>
    </row>
    <row r="79" spans="1:28">
      <c r="A79" s="4" t="s">
        <v>1481</v>
      </c>
      <c r="B79" s="4">
        <v>72115</v>
      </c>
      <c r="C79" s="4" t="s">
        <v>1441</v>
      </c>
      <c r="D79" s="4" t="s">
        <v>242</v>
      </c>
      <c r="E79" s="5" t="s">
        <v>1802</v>
      </c>
      <c r="F79" s="6" t="str">
        <f>HYPERLINK("https://stat100.ameba.jp/tnk47/ratio20/illustrations/card/ill_72115_yamainunyobo05.jpg", "■")</f>
        <v>■</v>
      </c>
      <c r="G79" s="4" t="s">
        <v>1803</v>
      </c>
      <c r="H79"/>
      <c r="I79"/>
      <c r="J79"/>
      <c r="K79"/>
      <c r="L79"/>
      <c r="M79"/>
      <c r="N79"/>
      <c r="O79"/>
      <c r="P79"/>
      <c r="Q79"/>
      <c r="R79"/>
      <c r="S79"/>
      <c r="T79"/>
      <c r="U79" t="s">
        <v>1804</v>
      </c>
      <c r="V79" t="s">
        <v>1429</v>
      </c>
      <c r="W79" s="4" t="s">
        <v>1354</v>
      </c>
      <c r="X79" s="4">
        <v>21</v>
      </c>
      <c r="Y79" s="4">
        <v>115284</v>
      </c>
      <c r="Z79" s="4">
        <v>83467</v>
      </c>
      <c r="AA79" s="4" t="s">
        <v>1805</v>
      </c>
      <c r="AB79" s="4" t="s">
        <v>1806</v>
      </c>
    </row>
    <row r="80" spans="1:28">
      <c r="A80" s="4" t="s">
        <v>1807</v>
      </c>
      <c r="B80" s="4">
        <v>73045</v>
      </c>
      <c r="C80" s="4" t="s">
        <v>1441</v>
      </c>
      <c r="D80" s="4" t="s">
        <v>203</v>
      </c>
      <c r="E80" s="5" t="s">
        <v>1808</v>
      </c>
      <c r="F80" s="6" t="str">
        <f>HYPERLINK("https://stat100.ameba.jp/tnk47/ratio20/illustrations/card/ill_73045_takabaosamu05.jpg", "■")</f>
        <v>■</v>
      </c>
      <c r="G80" s="4" t="s">
        <v>1809</v>
      </c>
      <c r="H80"/>
      <c r="I80"/>
      <c r="J80"/>
      <c r="K80"/>
      <c r="L80"/>
      <c r="M80"/>
      <c r="N80"/>
      <c r="O80"/>
      <c r="P80"/>
      <c r="Q80"/>
      <c r="R80"/>
      <c r="S80"/>
      <c r="T80"/>
      <c r="U80" t="s">
        <v>1810</v>
      </c>
      <c r="V80" t="s">
        <v>1429</v>
      </c>
      <c r="W80" s="4" t="s">
        <v>1354</v>
      </c>
      <c r="X80" s="4">
        <v>21</v>
      </c>
      <c r="Y80" s="4">
        <v>107620</v>
      </c>
      <c r="Z80" s="4">
        <v>77929</v>
      </c>
      <c r="AA80" s="4" t="s">
        <v>1811</v>
      </c>
      <c r="AB80" s="4" t="s">
        <v>2436</v>
      </c>
    </row>
    <row r="81" spans="1:28">
      <c r="A81" s="4" t="s">
        <v>1812</v>
      </c>
      <c r="B81" s="4">
        <v>73035</v>
      </c>
      <c r="C81" s="4" t="s">
        <v>1441</v>
      </c>
      <c r="D81" s="4" t="s">
        <v>216</v>
      </c>
      <c r="E81" s="5" t="s">
        <v>1813</v>
      </c>
      <c r="F81" s="6" t="str">
        <f>HYPERLINK("https://stat100.ameba.jp/tnk47/ratio20/illustrations/card/ill_73035_biwako05.jpg", "■")</f>
        <v>■</v>
      </c>
      <c r="G81" s="4" t="s">
        <v>1814</v>
      </c>
      <c r="H81"/>
      <c r="I81"/>
      <c r="J81"/>
      <c r="K81"/>
      <c r="L81"/>
      <c r="M81"/>
      <c r="N81"/>
      <c r="O81"/>
      <c r="P81"/>
      <c r="Q81"/>
      <c r="R81"/>
      <c r="S81"/>
      <c r="T81"/>
      <c r="U81" t="s">
        <v>1815</v>
      </c>
      <c r="V81" t="s">
        <v>1429</v>
      </c>
      <c r="W81" s="4" t="s">
        <v>1354</v>
      </c>
      <c r="X81" s="4">
        <v>21</v>
      </c>
      <c r="Y81" s="4">
        <v>115636</v>
      </c>
      <c r="Z81" s="4">
        <v>83723</v>
      </c>
      <c r="AA81" s="4" t="s">
        <v>1816</v>
      </c>
      <c r="AB81" s="4" t="s">
        <v>1817</v>
      </c>
    </row>
    <row r="82" spans="1:28">
      <c r="A82" s="4" t="s">
        <v>1491</v>
      </c>
      <c r="B82" s="4">
        <v>73055</v>
      </c>
      <c r="C82" s="4" t="s">
        <v>1351</v>
      </c>
      <c r="D82" s="4" t="s">
        <v>302</v>
      </c>
      <c r="E82" s="5" t="s">
        <v>1818</v>
      </c>
      <c r="F82" s="6" t="str">
        <f>HYPERLINK("https://stat100.ameba.jp/tnk47/ratio20/illustrations/card/ill_73055_tengubi05.jpg", "■")</f>
        <v>■</v>
      </c>
      <c r="G82" s="4" t="s">
        <v>1819</v>
      </c>
      <c r="H82"/>
      <c r="I82"/>
      <c r="J82"/>
      <c r="K82"/>
      <c r="L82"/>
      <c r="M82"/>
      <c r="N82"/>
      <c r="O82"/>
      <c r="P82"/>
      <c r="Q82"/>
      <c r="R82"/>
      <c r="S82"/>
      <c r="T82"/>
      <c r="U82" t="s">
        <v>1820</v>
      </c>
      <c r="V82" t="s">
        <v>1429</v>
      </c>
      <c r="W82" s="4" t="s">
        <v>1354</v>
      </c>
      <c r="X82" s="42">
        <v>21</v>
      </c>
      <c r="Y82" s="42">
        <v>47305</v>
      </c>
      <c r="Z82" s="42">
        <v>65335</v>
      </c>
      <c r="AA82" s="4" t="s">
        <v>1821</v>
      </c>
      <c r="AB82" s="4" t="s">
        <v>1822</v>
      </c>
    </row>
    <row r="83" spans="1:28">
      <c r="A83" s="4" t="s">
        <v>1823</v>
      </c>
      <c r="B83" s="4">
        <v>70575</v>
      </c>
      <c r="C83" s="4" t="s">
        <v>1824</v>
      </c>
      <c r="D83" s="4" t="s">
        <v>308</v>
      </c>
      <c r="E83" s="5" t="s">
        <v>1825</v>
      </c>
      <c r="F83" s="6" t="str">
        <f>HYPERLINK("https://stat100.ameba.jp/tnk47/ratio20/illustrations/card/ill_70575_hayashikimuko05.jpg", "■")</f>
        <v>■</v>
      </c>
      <c r="G83" s="4" t="s">
        <v>1826</v>
      </c>
      <c r="H83"/>
      <c r="I83"/>
      <c r="J83"/>
      <c r="K83"/>
      <c r="L83"/>
      <c r="M83"/>
      <c r="N83"/>
      <c r="O83"/>
      <c r="P83"/>
      <c r="Q83"/>
      <c r="R83"/>
      <c r="S83"/>
      <c r="T83"/>
      <c r="U83" t="s">
        <v>3174</v>
      </c>
      <c r="V83" s="23" t="s">
        <v>1429</v>
      </c>
      <c r="W83" s="4" t="s">
        <v>1354</v>
      </c>
      <c r="X83" s="4">
        <v>21</v>
      </c>
      <c r="Y83" s="4">
        <v>103652</v>
      </c>
      <c r="Z83" s="4">
        <v>75039</v>
      </c>
      <c r="AA83" s="4" t="s">
        <v>1827</v>
      </c>
      <c r="AB83" s="4" t="s">
        <v>1828</v>
      </c>
    </row>
    <row r="84" spans="1:28">
      <c r="A84" s="4" t="s">
        <v>1829</v>
      </c>
      <c r="B84" s="4">
        <v>73855</v>
      </c>
      <c r="C84" s="4" t="s">
        <v>1351</v>
      </c>
      <c r="D84" s="4" t="s">
        <v>272</v>
      </c>
      <c r="E84" s="5" t="s">
        <v>1830</v>
      </c>
      <c r="F84" s="6" t="str">
        <f>HYPERLINK("https://stat100.ameba.jp/tnk47/ratio20/illustrations/card/ill_73855_hirayamanarinobu05.jpg", "■")</f>
        <v>■</v>
      </c>
      <c r="G84" s="4" t="s">
        <v>1831</v>
      </c>
      <c r="H84"/>
      <c r="I84"/>
      <c r="J84"/>
      <c r="K84"/>
      <c r="L84"/>
      <c r="M84"/>
      <c r="N84"/>
      <c r="O84"/>
      <c r="P84"/>
      <c r="Q84"/>
      <c r="R84"/>
      <c r="S84"/>
      <c r="T84"/>
      <c r="U84" t="s">
        <v>1832</v>
      </c>
      <c r="V84" t="s">
        <v>1429</v>
      </c>
      <c r="W84" s="4" t="s">
        <v>1354</v>
      </c>
      <c r="X84" s="4">
        <v>21</v>
      </c>
      <c r="Y84" s="4">
        <v>150278</v>
      </c>
      <c r="Z84" s="4">
        <v>108811</v>
      </c>
      <c r="AA84" s="4" t="s">
        <v>1833</v>
      </c>
      <c r="AB84" s="4" t="s">
        <v>1834</v>
      </c>
    </row>
    <row r="85" spans="1:28">
      <c r="A85" s="4" t="s">
        <v>1501</v>
      </c>
      <c r="B85" s="4">
        <v>73865</v>
      </c>
      <c r="C85" s="4" t="s">
        <v>1441</v>
      </c>
      <c r="D85" s="4" t="s">
        <v>302</v>
      </c>
      <c r="E85" s="5" t="s">
        <v>1835</v>
      </c>
      <c r="F85" s="6" t="str">
        <f>HYPERLINK("https://stat100.ameba.jp/tnk47/ratio20/illustrations/card/ill_73865_nyunaisuzume05.jpg", "■")</f>
        <v>■</v>
      </c>
      <c r="G85" s="4" t="s">
        <v>1836</v>
      </c>
      <c r="H85"/>
      <c r="I85"/>
      <c r="J85"/>
      <c r="K85"/>
      <c r="L85"/>
      <c r="M85"/>
      <c r="N85"/>
      <c r="O85"/>
      <c r="P85"/>
      <c r="Q85"/>
      <c r="R85"/>
      <c r="S85"/>
      <c r="T85"/>
      <c r="U85" t="s">
        <v>1837</v>
      </c>
      <c r="V85" t="s">
        <v>1429</v>
      </c>
      <c r="W85" s="4" t="s">
        <v>1354</v>
      </c>
      <c r="X85" s="4">
        <v>21</v>
      </c>
      <c r="Y85" s="4">
        <v>47305</v>
      </c>
      <c r="Z85" s="4">
        <v>65335</v>
      </c>
      <c r="AA85" s="4" t="s">
        <v>1838</v>
      </c>
      <c r="AB85" s="4" t="s">
        <v>1839</v>
      </c>
    </row>
    <row r="86" spans="1:28">
      <c r="A86" s="4" t="s">
        <v>1840</v>
      </c>
      <c r="B86" s="4">
        <v>75035</v>
      </c>
      <c r="C86" s="4" t="s">
        <v>1441</v>
      </c>
      <c r="D86" s="4" t="s">
        <v>272</v>
      </c>
      <c r="E86" s="5" t="s">
        <v>1841</v>
      </c>
      <c r="F86" s="6" t="str">
        <f>HYPERLINK("https://stat100.ameba.jp/tnk47/ratio20/illustrations/card/ill_75035_mutsumunemitsu05.jpg", "■")</f>
        <v>■</v>
      </c>
      <c r="G86" s="4" t="s">
        <v>1842</v>
      </c>
      <c r="H86"/>
      <c r="I86"/>
      <c r="J86"/>
      <c r="K86"/>
      <c r="L86"/>
      <c r="M86"/>
      <c r="N86"/>
      <c r="O86"/>
      <c r="P86"/>
      <c r="Q86"/>
      <c r="R86"/>
      <c r="S86"/>
      <c r="T86"/>
      <c r="U86" t="s">
        <v>1843</v>
      </c>
      <c r="V86" t="s">
        <v>1429</v>
      </c>
      <c r="W86" s="4" t="s">
        <v>1354</v>
      </c>
      <c r="X86" s="4">
        <v>21</v>
      </c>
      <c r="Y86" s="4">
        <v>103652</v>
      </c>
      <c r="Z86" s="4">
        <v>75039</v>
      </c>
      <c r="AA86" s="4" t="s">
        <v>1844</v>
      </c>
      <c r="AB86" s="4" t="s">
        <v>1845</v>
      </c>
    </row>
    <row r="87" spans="1:28">
      <c r="A87" s="4" t="s">
        <v>1512</v>
      </c>
      <c r="B87" s="4">
        <v>75045</v>
      </c>
      <c r="C87" s="4" t="s">
        <v>1441</v>
      </c>
      <c r="D87" s="4" t="s">
        <v>295</v>
      </c>
      <c r="E87" s="5" t="s">
        <v>1846</v>
      </c>
      <c r="F87" s="6" t="str">
        <f>HYPERLINK("https://stat100.ameba.jp/tnk47/ratio20/illustrations/card/ill_75045_yamazakikataie05.jpg", "■")</f>
        <v>■</v>
      </c>
      <c r="G87" s="4" t="s">
        <v>1847</v>
      </c>
      <c r="H87"/>
      <c r="I87"/>
      <c r="J87"/>
      <c r="K87"/>
      <c r="L87"/>
      <c r="M87"/>
      <c r="N87"/>
      <c r="O87"/>
      <c r="P87"/>
      <c r="Q87"/>
      <c r="R87"/>
      <c r="S87"/>
      <c r="T87"/>
      <c r="U87" t="s">
        <v>1848</v>
      </c>
      <c r="V87" t="s">
        <v>1429</v>
      </c>
      <c r="W87" s="4" t="s">
        <v>1354</v>
      </c>
      <c r="X87" s="4">
        <v>21</v>
      </c>
      <c r="Y87" s="4">
        <v>150278</v>
      </c>
      <c r="Z87" s="4">
        <v>108811</v>
      </c>
      <c r="AA87" s="4" t="s">
        <v>1849</v>
      </c>
      <c r="AB87" s="4" t="s">
        <v>1850</v>
      </c>
    </row>
    <row r="88" spans="1:28">
      <c r="A88" s="4" t="s">
        <v>1851</v>
      </c>
      <c r="B88" s="4">
        <v>75835</v>
      </c>
      <c r="C88" s="4" t="s">
        <v>1351</v>
      </c>
      <c r="D88" s="4" t="s">
        <v>63</v>
      </c>
      <c r="E88" s="5" t="s">
        <v>1852</v>
      </c>
      <c r="F88" s="6" t="str">
        <f>HYPERLINK("https://stat100.ameba.jp/tnk47/ratio20/illustrations/card/ill_75835_amenofuyukinunokami05.jpg", "■")</f>
        <v>■</v>
      </c>
      <c r="G88" s="4" t="s">
        <v>1853</v>
      </c>
      <c r="H88"/>
      <c r="I88"/>
      <c r="J88"/>
      <c r="K88"/>
      <c r="L88"/>
      <c r="M88"/>
      <c r="N88"/>
      <c r="O88"/>
      <c r="P88"/>
      <c r="Q88"/>
      <c r="R88"/>
      <c r="S88"/>
      <c r="T88"/>
      <c r="U88" t="s">
        <v>1854</v>
      </c>
      <c r="V88" t="s">
        <v>1855</v>
      </c>
      <c r="W88" s="4" t="s">
        <v>1093</v>
      </c>
      <c r="X88" s="4">
        <v>21</v>
      </c>
      <c r="Y88" s="4">
        <v>108272</v>
      </c>
      <c r="Z88" s="4">
        <v>78387</v>
      </c>
      <c r="AA88" s="4" t="s">
        <v>1856</v>
      </c>
      <c r="AB88" s="4" t="s">
        <v>2437</v>
      </c>
    </row>
    <row r="89" spans="1:28">
      <c r="A89" s="4" t="s">
        <v>1857</v>
      </c>
      <c r="B89" s="4">
        <v>75905</v>
      </c>
      <c r="C89" s="4" t="s">
        <v>1351</v>
      </c>
      <c r="D89" s="4" t="s">
        <v>242</v>
      </c>
      <c r="E89" s="5" t="s">
        <v>1858</v>
      </c>
      <c r="F89" s="6" t="str">
        <f>HYPERLINK("https://stat100.ameba.jp/tnk47/ratio20/illustrations/card/ill_75905_nakiginnan05.jpg", "■")</f>
        <v>■</v>
      </c>
      <c r="G89" s="4" t="s">
        <v>1859</v>
      </c>
      <c r="H89"/>
      <c r="I89"/>
      <c r="J89"/>
      <c r="K89"/>
      <c r="L89"/>
      <c r="M89"/>
      <c r="N89"/>
      <c r="O89"/>
      <c r="P89"/>
      <c r="Q89"/>
      <c r="R89"/>
      <c r="S89"/>
      <c r="T89"/>
      <c r="U89" t="s">
        <v>1860</v>
      </c>
      <c r="V89" t="s">
        <v>1429</v>
      </c>
      <c r="W89" s="4" t="s">
        <v>1354</v>
      </c>
      <c r="X89" s="4">
        <v>21</v>
      </c>
      <c r="Y89" s="4">
        <v>83467</v>
      </c>
      <c r="Z89" s="4">
        <v>115284</v>
      </c>
      <c r="AA89" s="4" t="s">
        <v>1861</v>
      </c>
      <c r="AB89" s="4" t="s">
        <v>1862</v>
      </c>
    </row>
    <row r="90" spans="1:28">
      <c r="A90" s="4" t="s">
        <v>1522</v>
      </c>
      <c r="B90" s="4">
        <v>75845</v>
      </c>
      <c r="C90" s="4" t="s">
        <v>1863</v>
      </c>
      <c r="D90" s="4" t="s">
        <v>68</v>
      </c>
      <c r="E90" s="5" t="s">
        <v>1864</v>
      </c>
      <c r="F90" s="6" t="str">
        <f>HYPERLINK("https://stat100.ameba.jp/tnk47/ratio20/illustrations/card/ill_75845_tokugawanoriko05.jpg", "■")</f>
        <v>■</v>
      </c>
      <c r="G90" s="4" t="s">
        <v>1865</v>
      </c>
      <c r="H90"/>
      <c r="I90"/>
      <c r="J90"/>
      <c r="K90"/>
      <c r="L90"/>
      <c r="M90"/>
      <c r="N90"/>
      <c r="O90"/>
      <c r="P90"/>
      <c r="Q90"/>
      <c r="R90"/>
      <c r="S90"/>
      <c r="T90"/>
      <c r="U90" t="s">
        <v>1866</v>
      </c>
      <c r="V90" t="s">
        <v>1429</v>
      </c>
      <c r="W90" s="4" t="s">
        <v>1354</v>
      </c>
      <c r="X90" s="4">
        <v>21</v>
      </c>
      <c r="Y90" s="4">
        <v>71481</v>
      </c>
      <c r="Z90" s="4">
        <v>98728</v>
      </c>
      <c r="AA90" s="4" t="s">
        <v>1867</v>
      </c>
      <c r="AB90" s="4" t="s">
        <v>1868</v>
      </c>
    </row>
    <row r="91" spans="1:28">
      <c r="A91" s="4" t="s">
        <v>1869</v>
      </c>
      <c r="B91" s="4">
        <v>76745</v>
      </c>
      <c r="C91" s="4" t="s">
        <v>1351</v>
      </c>
      <c r="D91" s="4" t="s">
        <v>33</v>
      </c>
      <c r="E91" s="5" t="s">
        <v>1870</v>
      </c>
      <c r="F91" s="6" t="str">
        <f>HYPERLINK("https://stat100.ameba.jp/tnk47/ratio20/illustrations/card/ill_76745_yawatauma05.jpg", "■")</f>
        <v>■</v>
      </c>
      <c r="G91" s="4" t="s">
        <v>1871</v>
      </c>
      <c r="H91"/>
      <c r="I91"/>
      <c r="J91"/>
      <c r="K91"/>
      <c r="L91"/>
      <c r="M91"/>
      <c r="N91"/>
      <c r="O91"/>
      <c r="P91"/>
      <c r="Q91"/>
      <c r="R91"/>
      <c r="S91"/>
      <c r="T91"/>
      <c r="U91" t="s">
        <v>1872</v>
      </c>
      <c r="V91" t="s">
        <v>1429</v>
      </c>
      <c r="W91" s="4" t="s">
        <v>1354</v>
      </c>
      <c r="X91" s="4">
        <v>22</v>
      </c>
      <c r="Y91" s="4">
        <v>92074</v>
      </c>
      <c r="Z91" s="4">
        <v>127184</v>
      </c>
      <c r="AA91" s="4" t="s">
        <v>1873</v>
      </c>
      <c r="AB91" s="4" t="s">
        <v>2438</v>
      </c>
    </row>
    <row r="92" spans="1:28">
      <c r="A92" s="4" t="s">
        <v>1874</v>
      </c>
      <c r="B92" s="4">
        <v>76815</v>
      </c>
      <c r="C92" s="4" t="s">
        <v>1863</v>
      </c>
      <c r="D92" s="4" t="s">
        <v>15</v>
      </c>
      <c r="E92" s="5" t="s">
        <v>1875</v>
      </c>
      <c r="F92" s="6" t="str">
        <f>HYPERLINK("https://stat100.ameba.jp/tnk47/ratio20/illustrations/card/ill_76815_yukemurigoryunotsubone05.jpg", "■")</f>
        <v>■</v>
      </c>
      <c r="G92" s="4" t="s">
        <v>1876</v>
      </c>
      <c r="H92"/>
      <c r="I92"/>
      <c r="J92"/>
      <c r="K92"/>
      <c r="L92"/>
      <c r="M92"/>
      <c r="N92"/>
      <c r="O92"/>
      <c r="P92"/>
      <c r="Q92"/>
      <c r="R92"/>
      <c r="S92"/>
      <c r="T92"/>
      <c r="U92" t="s">
        <v>1877</v>
      </c>
      <c r="V92" t="s">
        <v>1429</v>
      </c>
      <c r="W92" s="4" t="s">
        <v>1354</v>
      </c>
      <c r="X92" s="4">
        <v>22</v>
      </c>
      <c r="Y92" s="4">
        <v>74886</v>
      </c>
      <c r="Z92" s="4">
        <v>103428</v>
      </c>
      <c r="AA92" s="4" t="s">
        <v>1878</v>
      </c>
      <c r="AB92" s="4" t="s">
        <v>2215</v>
      </c>
    </row>
    <row r="93" spans="1:28">
      <c r="A93" s="4" t="s">
        <v>1879</v>
      </c>
      <c r="B93" s="4">
        <v>76755</v>
      </c>
      <c r="C93" s="4" t="s">
        <v>1351</v>
      </c>
      <c r="D93" s="4" t="s">
        <v>27</v>
      </c>
      <c r="E93" s="5" t="s">
        <v>1880</v>
      </c>
      <c r="F93" s="6" t="str">
        <f>HYPERLINK("https://stat100.ameba.jp/tnk47/ratio20/illustrations/card/ill_76755_igamenchi05.jpg", "■")</f>
        <v>■</v>
      </c>
      <c r="G93" s="4" t="s">
        <v>1881</v>
      </c>
      <c r="H93"/>
      <c r="I93" s="117"/>
      <c r="J93"/>
      <c r="K93"/>
      <c r="L93"/>
      <c r="M93"/>
      <c r="N93"/>
      <c r="O93"/>
      <c r="P93"/>
      <c r="Q93"/>
      <c r="R93"/>
      <c r="S93"/>
      <c r="T93"/>
      <c r="U93" t="s">
        <v>3104</v>
      </c>
      <c r="V93" t="s">
        <v>1429</v>
      </c>
      <c r="W93" s="4" t="s">
        <v>1354</v>
      </c>
      <c r="X93" s="4">
        <v>22</v>
      </c>
      <c r="Y93" s="4">
        <v>125086</v>
      </c>
      <c r="Z93" s="4">
        <v>90580</v>
      </c>
      <c r="AA93" s="4" t="s">
        <v>1882</v>
      </c>
      <c r="AB93" s="4" t="s">
        <v>1739</v>
      </c>
    </row>
    <row r="94" spans="1:28">
      <c r="A94" s="4" t="s">
        <v>1534</v>
      </c>
      <c r="B94" s="4">
        <v>77625</v>
      </c>
      <c r="C94" s="4" t="s">
        <v>1351</v>
      </c>
      <c r="D94" s="4" t="s">
        <v>570</v>
      </c>
      <c r="E94" s="5" t="s">
        <v>1883</v>
      </c>
      <c r="F94" s="6" t="str">
        <f>HYPERLINK("https://stat100.ameba.jp/tnk47/ratio20/illustrations/card/ill_77625_hakuinotenshioginoginko05.jpg", "■")</f>
        <v>■</v>
      </c>
      <c r="G94" s="4" t="s">
        <v>1884</v>
      </c>
      <c r="H94"/>
      <c r="I94"/>
      <c r="J94"/>
      <c r="K94"/>
      <c r="L94"/>
      <c r="M94"/>
      <c r="N94"/>
      <c r="O94"/>
      <c r="P94"/>
      <c r="Q94"/>
      <c r="R94"/>
      <c r="S94"/>
      <c r="T94"/>
      <c r="U94" t="s">
        <v>1885</v>
      </c>
      <c r="V94" t="s">
        <v>1429</v>
      </c>
      <c r="W94" s="4" t="s">
        <v>1354</v>
      </c>
      <c r="X94" s="4">
        <v>22</v>
      </c>
      <c r="Y94" s="4">
        <v>165280</v>
      </c>
      <c r="Z94" s="4">
        <v>119682</v>
      </c>
      <c r="AA94" s="4" t="s">
        <v>1886</v>
      </c>
      <c r="AB94" s="4" t="s">
        <v>2040</v>
      </c>
    </row>
    <row r="95" spans="1:28">
      <c r="A95" s="4" t="s">
        <v>1887</v>
      </c>
      <c r="B95" s="4">
        <v>77575</v>
      </c>
      <c r="C95" s="4" t="s">
        <v>1888</v>
      </c>
      <c r="D95" s="4" t="s">
        <v>552</v>
      </c>
      <c r="E95" s="5" t="s">
        <v>1889</v>
      </c>
      <c r="F95" s="6" t="str">
        <f>HYPERLINK("https://stat100.ameba.jp/tnk47/ratio20/illustrations/card/ill_77575_chayamusumewakaruhimenomikoto05.jpg", "■")</f>
        <v>■</v>
      </c>
      <c r="G95" s="4" t="s">
        <v>1890</v>
      </c>
      <c r="H95"/>
      <c r="I95"/>
      <c r="J95"/>
      <c r="K95"/>
      <c r="L95"/>
      <c r="M95"/>
      <c r="N95"/>
      <c r="O95"/>
      <c r="P95"/>
      <c r="Q95"/>
      <c r="R95"/>
      <c r="S95"/>
      <c r="T95"/>
      <c r="U95" t="s">
        <v>1891</v>
      </c>
      <c r="V95" t="s">
        <v>1429</v>
      </c>
      <c r="W95" s="4" t="s">
        <v>1354</v>
      </c>
      <c r="X95" s="4">
        <v>22</v>
      </c>
      <c r="Y95" s="4">
        <v>103428</v>
      </c>
      <c r="Z95" s="4">
        <v>74886</v>
      </c>
      <c r="AA95" s="4" t="s">
        <v>1892</v>
      </c>
      <c r="AB95" s="4" t="s">
        <v>1996</v>
      </c>
    </row>
    <row r="96" spans="1:28">
      <c r="A96" s="4" t="s">
        <v>1893</v>
      </c>
      <c r="B96" s="4">
        <v>77635</v>
      </c>
      <c r="C96" s="4" t="s">
        <v>1888</v>
      </c>
      <c r="D96" s="4" t="s">
        <v>132</v>
      </c>
      <c r="E96" s="5" t="s">
        <v>1894</v>
      </c>
      <c r="F96" s="6" t="str">
        <f>HYPERLINK("https://stat100.ameba.jp/tnk47/ratio20/illustrations/card/ill_77635_hakuinotenshihebigami05.jpg", "■")</f>
        <v>■</v>
      </c>
      <c r="G96" s="4" t="s">
        <v>1895</v>
      </c>
      <c r="H96"/>
      <c r="I96"/>
      <c r="J96"/>
      <c r="K96"/>
      <c r="L96"/>
      <c r="M96"/>
      <c r="N96"/>
      <c r="O96"/>
      <c r="P96"/>
      <c r="Q96"/>
      <c r="R96"/>
      <c r="S96"/>
      <c r="T96"/>
      <c r="U96" t="s">
        <v>1896</v>
      </c>
      <c r="V96" t="s">
        <v>1429</v>
      </c>
      <c r="W96" s="4" t="s">
        <v>1354</v>
      </c>
      <c r="X96" s="4">
        <v>22</v>
      </c>
      <c r="Y96" s="4">
        <v>79912</v>
      </c>
      <c r="Z96" s="4">
        <v>110348</v>
      </c>
      <c r="AA96" s="4" t="s">
        <v>1897</v>
      </c>
      <c r="AB96" s="4" t="s">
        <v>1898</v>
      </c>
    </row>
    <row r="97" spans="1:28">
      <c r="A97" s="4" t="s">
        <v>1545</v>
      </c>
      <c r="B97" s="4">
        <v>78075</v>
      </c>
      <c r="C97" s="4" t="s">
        <v>1888</v>
      </c>
      <c r="D97" s="4" t="s">
        <v>267</v>
      </c>
      <c r="E97" s="5" t="s">
        <v>1899</v>
      </c>
      <c r="F97" s="6" t="str">
        <f>HYPERLINK("https://stat100.ameba.jp/tnk47/ratio20/illustrations/card/ill_78075_ryoribatorukanomitamanokami05.jpg", "■")</f>
        <v>■</v>
      </c>
      <c r="G97" s="4" t="s">
        <v>1900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 t="s">
        <v>1901</v>
      </c>
      <c r="V97" t="s">
        <v>1429</v>
      </c>
      <c r="W97" s="4" t="s">
        <v>1354</v>
      </c>
      <c r="X97" s="4">
        <v>22</v>
      </c>
      <c r="Y97" s="4">
        <v>92074</v>
      </c>
      <c r="Z97" s="4">
        <v>127184</v>
      </c>
      <c r="AA97" s="4" t="s">
        <v>1902</v>
      </c>
      <c r="AB97" s="4" t="s">
        <v>2439</v>
      </c>
    </row>
    <row r="98" spans="1:28">
      <c r="A98" s="4" t="s">
        <v>1903</v>
      </c>
      <c r="B98" s="4">
        <v>78095</v>
      </c>
      <c r="C98" s="4" t="s">
        <v>1351</v>
      </c>
      <c r="D98" s="4" t="s">
        <v>295</v>
      </c>
      <c r="E98" s="5" t="s">
        <v>1904</v>
      </c>
      <c r="F98" s="6" t="str">
        <f>HYPERLINK("https://stat100.ameba.jp/tnk47/ratio20/illustrations/card/ill_78095_ryoribatorunakanotakeko05.jpg", "■")</f>
        <v>■</v>
      </c>
      <c r="G98" s="4" t="s">
        <v>1905</v>
      </c>
      <c r="H98"/>
      <c r="I98"/>
      <c r="J98"/>
      <c r="K98"/>
      <c r="L98"/>
      <c r="M98"/>
      <c r="N98"/>
      <c r="O98"/>
      <c r="P98"/>
      <c r="Q98"/>
      <c r="R98"/>
      <c r="S98"/>
      <c r="T98"/>
      <c r="U98" t="s">
        <v>1906</v>
      </c>
      <c r="V98" t="s">
        <v>1429</v>
      </c>
      <c r="W98" s="4" t="s">
        <v>1354</v>
      </c>
      <c r="X98" s="4">
        <v>22</v>
      </c>
      <c r="Y98" s="4">
        <v>113992</v>
      </c>
      <c r="Z98" s="4">
        <v>157434</v>
      </c>
      <c r="AA98" s="4" t="s">
        <v>1907</v>
      </c>
      <c r="AB98" s="4" t="s">
        <v>1908</v>
      </c>
    </row>
    <row r="99" spans="1:28">
      <c r="A99" s="4" t="s">
        <v>1909</v>
      </c>
      <c r="B99" s="4">
        <v>79215</v>
      </c>
      <c r="C99" s="4" t="s">
        <v>1367</v>
      </c>
      <c r="D99" s="4" t="s">
        <v>53</v>
      </c>
      <c r="E99" s="5" t="s">
        <v>1910</v>
      </c>
      <c r="F99" s="6" t="str">
        <f>HYPERLINK("https://stat100.ameba.jp/tnk47/ratio20/illustrations/card/ill_79215_jizainoimpu05.jpg", "■")</f>
        <v>■</v>
      </c>
      <c r="G99" s="4" t="s">
        <v>1911</v>
      </c>
      <c r="H99"/>
      <c r="I99"/>
      <c r="J99"/>
      <c r="K99"/>
      <c r="L99"/>
      <c r="M99"/>
      <c r="N99"/>
      <c r="O99"/>
      <c r="P99"/>
      <c r="Q99"/>
      <c r="R99"/>
      <c r="S99"/>
      <c r="T99"/>
      <c r="U99" t="s">
        <v>1912</v>
      </c>
      <c r="V99" t="s">
        <v>1429</v>
      </c>
      <c r="W99" s="4" t="s">
        <v>1354</v>
      </c>
      <c r="X99" s="4">
        <v>22</v>
      </c>
      <c r="Y99" s="4">
        <v>68446</v>
      </c>
      <c r="Z99" s="4">
        <v>49558</v>
      </c>
      <c r="AA99" s="4" t="s">
        <v>1913</v>
      </c>
      <c r="AB99" s="4" t="s">
        <v>2440</v>
      </c>
    </row>
    <row r="101" spans="1:28">
      <c r="A101" s="4" t="s">
        <v>1349</v>
      </c>
    </row>
    <row r="102" spans="1:28">
      <c r="A102" s="4" t="s">
        <v>1914</v>
      </c>
      <c r="B102" s="4">
        <v>78805</v>
      </c>
      <c r="C102" s="4" t="s">
        <v>1351</v>
      </c>
      <c r="D102" s="4" t="s">
        <v>101</v>
      </c>
      <c r="E102" s="5" t="s">
        <v>1915</v>
      </c>
      <c r="F102" s="6" t="str">
        <f>HYPERLINK("https://stat100.ameba.jp/tnk47/ratio20/illustrations/card/ill_78805_waishatsuakaiteruko05.jpg", "■")</f>
        <v>■</v>
      </c>
      <c r="G102" s="4" t="s">
        <v>1916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t="s">
        <v>1917</v>
      </c>
      <c r="V102" t="s">
        <v>1429</v>
      </c>
      <c r="W102" s="4" t="s">
        <v>1354</v>
      </c>
      <c r="X102" s="4">
        <v>22</v>
      </c>
      <c r="Y102" s="4">
        <v>165280</v>
      </c>
      <c r="Z102" s="4">
        <v>119682</v>
      </c>
      <c r="AA102" s="4" t="s">
        <v>1918</v>
      </c>
      <c r="AB102" s="4" t="s">
        <v>1919</v>
      </c>
    </row>
    <row r="103" spans="1:28">
      <c r="A103" s="4" t="s">
        <v>1920</v>
      </c>
      <c r="B103" s="4">
        <v>78825</v>
      </c>
      <c r="C103" s="4" t="s">
        <v>1351</v>
      </c>
      <c r="D103" s="4" t="s">
        <v>272</v>
      </c>
      <c r="E103" s="5" t="s">
        <v>1921</v>
      </c>
      <c r="F103" s="6" t="str">
        <f>HYPERLINK("https://stat100.ameba.jp/tnk47/ratio20/illustrations/card/ill_78825_waishatsuononokomachi05.jpg", "■")</f>
        <v>■</v>
      </c>
      <c r="G103" s="4" t="s">
        <v>1922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t="s">
        <v>1923</v>
      </c>
      <c r="V103" t="s">
        <v>1429</v>
      </c>
      <c r="W103" s="4" t="s">
        <v>1354</v>
      </c>
      <c r="X103" s="4">
        <v>22</v>
      </c>
      <c r="Y103" s="4">
        <v>103428</v>
      </c>
      <c r="Z103" s="4">
        <v>74886</v>
      </c>
      <c r="AA103" s="4" t="s">
        <v>1924</v>
      </c>
      <c r="AB103" s="4" t="s">
        <v>2441</v>
      </c>
    </row>
    <row r="104" spans="1:28">
      <c r="A104" s="4" t="s">
        <v>1925</v>
      </c>
      <c r="B104" s="4">
        <v>78815</v>
      </c>
      <c r="C104" s="4" t="s">
        <v>1367</v>
      </c>
      <c r="D104" s="4" t="s">
        <v>27</v>
      </c>
      <c r="E104" s="5" t="s">
        <v>1926</v>
      </c>
      <c r="F104" s="6" t="str">
        <f>HYPERLINK("https://stat100.ameba.jp/tnk47/ratio20/illustrations/card/ill_78815_waishatsutamagokakegohanchan05.jpg", "■")</f>
        <v>■</v>
      </c>
      <c r="G104" s="4" t="s">
        <v>1927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t="s">
        <v>2742</v>
      </c>
      <c r="V104" t="s">
        <v>1429</v>
      </c>
      <c r="W104" s="4" t="s">
        <v>1354</v>
      </c>
      <c r="X104" s="4">
        <v>22</v>
      </c>
      <c r="Y104" s="4">
        <v>157434</v>
      </c>
      <c r="Z104" s="4">
        <v>113992</v>
      </c>
      <c r="AA104" s="4" t="s">
        <v>1928</v>
      </c>
      <c r="AB104" s="4" t="s">
        <v>2442</v>
      </c>
    </row>
    <row r="105" spans="1:28">
      <c r="A105" s="4" t="s">
        <v>1566</v>
      </c>
      <c r="B105" s="4">
        <v>79485</v>
      </c>
      <c r="C105" s="4" t="s">
        <v>1367</v>
      </c>
      <c r="D105" s="4" t="s">
        <v>570</v>
      </c>
      <c r="E105" s="5" t="s">
        <v>1929</v>
      </c>
      <c r="F105" s="6" t="str">
        <f>HYPERLINK("https://stat100.ameba.jp/tnk47/ratio20/illustrations/card/ill_79485_kyabinatendantokurohime05.jpg", "■")</f>
        <v>■</v>
      </c>
      <c r="G105" s="4" t="s">
        <v>1930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t="s">
        <v>1931</v>
      </c>
      <c r="V105" t="s">
        <v>1429</v>
      </c>
      <c r="W105" s="4" t="s">
        <v>1354</v>
      </c>
      <c r="X105" s="4">
        <v>22</v>
      </c>
      <c r="Y105" s="4">
        <v>81640</v>
      </c>
      <c r="Z105" s="4">
        <v>112746</v>
      </c>
      <c r="AA105" s="4" t="s">
        <v>1932</v>
      </c>
      <c r="AB105" s="4" t="s">
        <v>2443</v>
      </c>
    </row>
    <row r="106" spans="1:28">
      <c r="A106" s="4" t="s">
        <v>1933</v>
      </c>
      <c r="B106" s="4">
        <v>79505</v>
      </c>
      <c r="C106" s="4" t="s">
        <v>1367</v>
      </c>
      <c r="D106" s="4" t="s">
        <v>84</v>
      </c>
      <c r="E106" s="5" t="s">
        <v>1934</v>
      </c>
      <c r="F106" s="6" t="str">
        <f>HYPERLINK("https://stat100.ameba.jp/tnk47/ratio20/illustrations/card/ill_79505_kyabinatendantosukeban05.jpg", "■")</f>
        <v>■</v>
      </c>
      <c r="G106" s="4" t="s">
        <v>1935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t="s">
        <v>1936</v>
      </c>
      <c r="V106" t="s">
        <v>1429</v>
      </c>
      <c r="W106" s="4" t="s">
        <v>1354</v>
      </c>
      <c r="X106" s="4">
        <v>22</v>
      </c>
      <c r="Y106" s="4">
        <v>92074</v>
      </c>
      <c r="Z106" s="4">
        <v>127184</v>
      </c>
      <c r="AA106" s="4" t="s">
        <v>1937</v>
      </c>
      <c r="AB106" s="4" t="s">
        <v>2444</v>
      </c>
    </row>
    <row r="107" spans="1:28">
      <c r="A107" s="4" t="s">
        <v>1938</v>
      </c>
      <c r="B107" s="4">
        <v>79495</v>
      </c>
      <c r="C107" s="4" t="s">
        <v>1351</v>
      </c>
      <c r="D107" s="4" t="s">
        <v>15</v>
      </c>
      <c r="E107" s="5" t="s">
        <v>1939</v>
      </c>
      <c r="F107" s="6" t="str">
        <f>HYPERLINK("https://stat100.ameba.jp/tnk47/ratio20/illustrations/card/ill_79495_kyabinatendantofukuhime05.jpg", "■")</f>
        <v>■</v>
      </c>
      <c r="G107" s="4" t="s">
        <v>1940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t="s">
        <v>1941</v>
      </c>
      <c r="V107" t="s">
        <v>1429</v>
      </c>
      <c r="W107" s="4" t="s">
        <v>1354</v>
      </c>
      <c r="X107" s="4">
        <v>22</v>
      </c>
      <c r="Y107" s="4">
        <v>74886</v>
      </c>
      <c r="Z107" s="4">
        <v>103428</v>
      </c>
      <c r="AA107" s="4" t="s">
        <v>1942</v>
      </c>
      <c r="AB107" s="4" t="s">
        <v>2215</v>
      </c>
    </row>
    <row r="108" spans="1:28">
      <c r="A108" s="4" t="s">
        <v>1581</v>
      </c>
      <c r="B108" s="4">
        <v>80135</v>
      </c>
      <c r="C108" s="4" t="s">
        <v>1351</v>
      </c>
      <c r="D108" s="4" t="s">
        <v>63</v>
      </c>
      <c r="E108" s="5" t="s">
        <v>1943</v>
      </c>
      <c r="F108" s="6" t="str">
        <f>HYPERLINK("https://stat100.ameba.jp/tnk47/ratio20/illustrations/card/ill_80135_asashinsukurutemma05.jpg", "■")</f>
        <v>■</v>
      </c>
      <c r="G108" s="4" t="s">
        <v>1944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t="s">
        <v>1429</v>
      </c>
      <c r="V108" t="s">
        <v>1429</v>
      </c>
      <c r="W108" s="4" t="s">
        <v>1093</v>
      </c>
      <c r="X108" s="4">
        <v>22</v>
      </c>
      <c r="Y108" s="4">
        <v>62300</v>
      </c>
      <c r="Z108" s="4">
        <v>86044</v>
      </c>
      <c r="AA108" s="4" t="s">
        <v>1945</v>
      </c>
      <c r="AB108" s="4" t="s">
        <v>2435</v>
      </c>
    </row>
    <row r="109" spans="1:28">
      <c r="A109" s="4" t="s">
        <v>1946</v>
      </c>
      <c r="B109" s="4">
        <v>80155</v>
      </c>
      <c r="C109" s="4" t="s">
        <v>1367</v>
      </c>
      <c r="D109" s="4" t="s">
        <v>101</v>
      </c>
      <c r="E109" s="5" t="s">
        <v>1947</v>
      </c>
      <c r="F109" s="6" t="str">
        <f>HYPERLINK("https://stat100.ameba.jp/tnk47/ratio20/illustrations/card/ill_80155_asashinsukurutsuneyamagozen05.jpg", "■")</f>
        <v>■</v>
      </c>
      <c r="G109" s="4" t="s">
        <v>1948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t="s">
        <v>1429</v>
      </c>
      <c r="V109" t="s">
        <v>1429</v>
      </c>
      <c r="W109" s="4" t="s">
        <v>1093</v>
      </c>
      <c r="X109" s="4">
        <v>22</v>
      </c>
      <c r="Y109" s="4">
        <v>78612</v>
      </c>
      <c r="Z109" s="4">
        <v>108588</v>
      </c>
      <c r="AA109" s="4" t="s">
        <v>1949</v>
      </c>
      <c r="AB109" s="4" t="s">
        <v>2445</v>
      </c>
    </row>
    <row r="110" spans="1:28">
      <c r="A110" s="4" t="s">
        <v>1950</v>
      </c>
      <c r="B110" s="4">
        <v>80145</v>
      </c>
      <c r="C110" s="4" t="s">
        <v>1351</v>
      </c>
      <c r="D110" s="4" t="s">
        <v>107</v>
      </c>
      <c r="E110" s="5" t="s">
        <v>1951</v>
      </c>
      <c r="F110" s="6" t="str">
        <f>HYPERLINK("https://stat100.ameba.jp/tnk47/ratio20/illustrations/card/ill_80145_kajitsushunohebe05.jpg", "■")</f>
        <v>■</v>
      </c>
      <c r="G110" s="4" t="s">
        <v>1952</v>
      </c>
      <c r="H110" s="13" t="s">
        <v>1569</v>
      </c>
      <c r="I110"/>
      <c r="J110"/>
      <c r="K110"/>
      <c r="L110"/>
      <c r="M110"/>
      <c r="N110"/>
      <c r="O110"/>
      <c r="P110"/>
      <c r="Q110"/>
      <c r="R110"/>
      <c r="S110"/>
      <c r="T110"/>
      <c r="U110" t="s">
        <v>1429</v>
      </c>
      <c r="V110" t="s">
        <v>1429</v>
      </c>
      <c r="W110" s="4" t="s">
        <v>1093</v>
      </c>
      <c r="X110" s="4">
        <v>22</v>
      </c>
      <c r="Y110" s="4">
        <v>90580</v>
      </c>
      <c r="Z110" s="4">
        <v>125086</v>
      </c>
      <c r="AA110" s="4" t="s">
        <v>1953</v>
      </c>
      <c r="AB110" s="4" t="s">
        <v>1954</v>
      </c>
    </row>
    <row r="111" spans="1:28">
      <c r="A111" s="4" t="s">
        <v>1955</v>
      </c>
      <c r="B111" s="4">
        <v>80715</v>
      </c>
      <c r="C111" s="4" t="s">
        <v>1351</v>
      </c>
      <c r="D111" s="4" t="s">
        <v>196</v>
      </c>
      <c r="E111" s="5" t="s">
        <v>1956</v>
      </c>
      <c r="F111" s="6" t="str">
        <f>HYPERLINK("https://stat100.ameba.jp/tnk47/ratio20/illustrations/card/ill_80715_gyaruchikaramochiyurei05.jpg", "■")</f>
        <v>■</v>
      </c>
      <c r="G111" s="4" t="s">
        <v>1957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t="s">
        <v>1429</v>
      </c>
      <c r="V111" t="s">
        <v>1429</v>
      </c>
      <c r="W111" s="4" t="s">
        <v>1093</v>
      </c>
      <c r="X111" s="4">
        <v>22</v>
      </c>
      <c r="Y111" s="4">
        <v>68444</v>
      </c>
      <c r="Z111" s="4">
        <v>50276</v>
      </c>
      <c r="AA111" s="4" t="s">
        <v>1958</v>
      </c>
      <c r="AB111" s="4" t="s">
        <v>2433</v>
      </c>
    </row>
    <row r="112" spans="1:28">
      <c r="A112" s="4" t="s">
        <v>1959</v>
      </c>
      <c r="B112" s="4">
        <v>80735</v>
      </c>
      <c r="C112" s="4" t="s">
        <v>1351</v>
      </c>
      <c r="D112" s="4" t="s">
        <v>79</v>
      </c>
      <c r="E112" s="5" t="s">
        <v>1960</v>
      </c>
      <c r="F112" s="6" t="str">
        <f>HYPERLINK("https://stat100.ameba.jp/tnk47/ratio20/illustrations/card/ill_80735_chesu05.jpg", "■")</f>
        <v>■</v>
      </c>
      <c r="G112" s="4" t="s">
        <v>1961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t="s">
        <v>1429</v>
      </c>
      <c r="V112" t="s">
        <v>1429</v>
      </c>
      <c r="W112" s="4" t="s">
        <v>1093</v>
      </c>
      <c r="X112" s="4">
        <v>22</v>
      </c>
      <c r="Y112" s="4">
        <v>119682</v>
      </c>
      <c r="Z112" s="4">
        <v>165280</v>
      </c>
      <c r="AA112" s="4" t="s">
        <v>1962</v>
      </c>
      <c r="AB112" s="4" t="s">
        <v>2446</v>
      </c>
    </row>
    <row r="113" spans="1:28">
      <c r="A113" s="4" t="s">
        <v>1963</v>
      </c>
      <c r="B113" s="4">
        <v>80725</v>
      </c>
      <c r="C113" s="4" t="s">
        <v>1367</v>
      </c>
      <c r="D113" s="4" t="s">
        <v>89</v>
      </c>
      <c r="E113" s="5" t="s">
        <v>1964</v>
      </c>
      <c r="F113" s="6" t="str">
        <f>HYPERLINK("https://stat100.ameba.jp/tnk47/ratio20/illustrations/card/ill_80725_denkakenkyushagennai05.jpg", "■")</f>
        <v>■</v>
      </c>
      <c r="G113" s="4" t="s">
        <v>1965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t="s">
        <v>1429</v>
      </c>
      <c r="V113" t="s">
        <v>1429</v>
      </c>
      <c r="W113" s="4" t="s">
        <v>1093</v>
      </c>
      <c r="X113" s="4">
        <v>22</v>
      </c>
      <c r="Y113" s="4">
        <v>103428</v>
      </c>
      <c r="Z113" s="4">
        <v>74886</v>
      </c>
      <c r="AA113" s="4" t="s">
        <v>1966</v>
      </c>
      <c r="AB113" s="4" t="s">
        <v>2441</v>
      </c>
    </row>
    <row r="114" spans="1:28">
      <c r="A114" s="4" t="s">
        <v>1967</v>
      </c>
      <c r="B114" s="4">
        <v>81275</v>
      </c>
      <c r="C114" s="4" t="s">
        <v>1367</v>
      </c>
      <c r="D114" s="4" t="s">
        <v>15</v>
      </c>
      <c r="E114" s="5" t="s">
        <v>1968</v>
      </c>
      <c r="F114" s="6" t="str">
        <f>HYPERLINK("https://stat100.ameba.jp/tnk47/ratio20/illustrations/card/ill_81275_gogatsubyogohime05.jpg", "■")</f>
        <v>■</v>
      </c>
      <c r="G114" s="4" t="s">
        <v>1969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t="s">
        <v>1429</v>
      </c>
      <c r="V114" t="s">
        <v>1429</v>
      </c>
      <c r="W114" s="4" t="s">
        <v>1093</v>
      </c>
      <c r="X114" s="4">
        <v>23</v>
      </c>
      <c r="Y114" s="4">
        <v>108130</v>
      </c>
      <c r="Z114" s="4">
        <v>78289</v>
      </c>
      <c r="AA114" s="4" t="s">
        <v>1970</v>
      </c>
      <c r="AB114" s="4" t="s">
        <v>2447</v>
      </c>
    </row>
    <row r="115" spans="1:28">
      <c r="A115" s="4" t="s">
        <v>1971</v>
      </c>
      <c r="B115" s="4">
        <v>81295</v>
      </c>
      <c r="C115" s="4" t="s">
        <v>1367</v>
      </c>
      <c r="D115" s="4" t="s">
        <v>132</v>
      </c>
      <c r="E115" s="5" t="s">
        <v>1972</v>
      </c>
      <c r="F115" s="6" t="str">
        <f>HYPERLINK("https://stat100.ameba.jp/tnk47/ratio20/illustrations/card/ill_81295_ningyozuka05.jpg", "■")</f>
        <v>■</v>
      </c>
      <c r="G115" s="4" t="s">
        <v>1973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t="s">
        <v>1429</v>
      </c>
      <c r="V115" t="s">
        <v>1429</v>
      </c>
      <c r="W115" s="4" t="s">
        <v>1093</v>
      </c>
      <c r="X115" s="4">
        <v>23</v>
      </c>
      <c r="Y115" s="4">
        <v>126264</v>
      </c>
      <c r="Z115" s="4">
        <v>91417</v>
      </c>
      <c r="AA115" s="4" t="s">
        <v>1974</v>
      </c>
      <c r="AB115" s="4" t="s">
        <v>2448</v>
      </c>
    </row>
    <row r="116" spans="1:28">
      <c r="A116" s="4" t="s">
        <v>1975</v>
      </c>
      <c r="B116" s="4">
        <v>81285</v>
      </c>
      <c r="C116" s="4" t="s">
        <v>1351</v>
      </c>
      <c r="D116" s="4" t="s">
        <v>196</v>
      </c>
      <c r="E116" s="5" t="s">
        <v>1976</v>
      </c>
      <c r="F116" s="6" t="str">
        <f>HYPERLINK("https://stat100.ameba.jp/tnk47/ratio20/illustrations/card/ill_81285_iwaposoinkara05.jpg", "■")</f>
        <v>■</v>
      </c>
      <c r="G116" s="4" t="s">
        <v>1977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t="s">
        <v>1978</v>
      </c>
      <c r="V116" t="s">
        <v>1429</v>
      </c>
      <c r="W116" s="4" t="s">
        <v>1354</v>
      </c>
      <c r="X116" s="4">
        <v>23</v>
      </c>
      <c r="Y116" s="4">
        <v>78289</v>
      </c>
      <c r="Z116" s="4">
        <v>108130</v>
      </c>
      <c r="AA116" s="4" t="s">
        <v>1979</v>
      </c>
      <c r="AB116" s="4" t="s">
        <v>2449</v>
      </c>
    </row>
    <row r="117" spans="1:28">
      <c r="A117" s="4" t="s">
        <v>1980</v>
      </c>
      <c r="B117" s="4">
        <v>81875</v>
      </c>
      <c r="C117" s="4" t="s">
        <v>1351</v>
      </c>
      <c r="D117" s="4" t="s">
        <v>79</v>
      </c>
      <c r="E117" s="5" t="s">
        <v>1981</v>
      </c>
      <c r="F117" s="6" t="str">
        <f>HYPERLINK("https://stat100.ameba.jp/tnk47/ratio20/illustrations/card/ill_81875_jumburaidohanimotoko05.jpg", "■")</f>
        <v>■</v>
      </c>
      <c r="G117" s="4" t="s">
        <v>1982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t="s">
        <v>1983</v>
      </c>
      <c r="V117" t="s">
        <v>1429</v>
      </c>
      <c r="W117" s="4" t="s">
        <v>1354</v>
      </c>
      <c r="X117" s="4">
        <v>23</v>
      </c>
      <c r="Y117" s="4">
        <v>112277</v>
      </c>
      <c r="Z117" s="4">
        <v>81293</v>
      </c>
      <c r="AA117" s="4" t="s">
        <v>1984</v>
      </c>
      <c r="AB117" s="4" t="s">
        <v>2432</v>
      </c>
    </row>
    <row r="118" spans="1:28">
      <c r="A118" s="4" t="s">
        <v>1985</v>
      </c>
      <c r="B118" s="4">
        <v>81895</v>
      </c>
      <c r="C118" s="4" t="s">
        <v>1367</v>
      </c>
      <c r="D118" s="4" t="s">
        <v>84</v>
      </c>
      <c r="E118" s="5" t="s">
        <v>1986</v>
      </c>
      <c r="F118" s="6" t="str">
        <f>HYPERLINK("https://stat100.ameba.jp/tnk47/ratio20/illustrations/card/ill_81895_kyansa05.jpg", "■")</f>
        <v>■</v>
      </c>
      <c r="G118" s="4" t="s">
        <v>1987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t="s">
        <v>1988</v>
      </c>
      <c r="V118" t="s">
        <v>1429</v>
      </c>
      <c r="W118" s="4" t="s">
        <v>1093</v>
      </c>
      <c r="X118" s="4">
        <v>23</v>
      </c>
      <c r="Y118" s="4">
        <v>130772</v>
      </c>
      <c r="Z118" s="4">
        <v>94697</v>
      </c>
      <c r="AA118" s="4" t="s">
        <v>1989</v>
      </c>
      <c r="AB118" s="4" t="s">
        <v>1990</v>
      </c>
    </row>
    <row r="119" spans="1:28">
      <c r="A119" s="4" t="s">
        <v>1991</v>
      </c>
      <c r="B119" s="4">
        <v>81885</v>
      </c>
      <c r="C119" s="4" t="s">
        <v>1351</v>
      </c>
      <c r="D119" s="4" t="s">
        <v>63</v>
      </c>
      <c r="E119" s="5" t="s">
        <v>1992</v>
      </c>
      <c r="F119" s="6" t="str">
        <f>HYPERLINK("https://stat100.ameba.jp/tnk47/ratio20/illustrations/card/ill_81885_beruzandei05.jpg", "■")</f>
        <v>■</v>
      </c>
      <c r="G119" s="4" t="s">
        <v>1993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t="s">
        <v>1994</v>
      </c>
      <c r="V119" t="s">
        <v>1429</v>
      </c>
      <c r="W119" s="4" t="s">
        <v>1354</v>
      </c>
      <c r="X119" s="4">
        <v>23</v>
      </c>
      <c r="Y119" s="4">
        <v>50669</v>
      </c>
      <c r="Z119" s="4">
        <v>36685</v>
      </c>
      <c r="AA119" s="4" t="s">
        <v>1995</v>
      </c>
      <c r="AB119" s="4" t="s">
        <v>1996</v>
      </c>
    </row>
    <row r="120" spans="1:28">
      <c r="A120" s="4" t="s">
        <v>1997</v>
      </c>
      <c r="B120" s="4">
        <v>82515</v>
      </c>
      <c r="C120" s="4" t="s">
        <v>1367</v>
      </c>
      <c r="D120" s="4" t="s">
        <v>84</v>
      </c>
      <c r="E120" s="5" t="s">
        <v>1998</v>
      </c>
      <c r="F120" s="6" t="str">
        <f>HYPERLINK("https://stat100.ameba.jp/tnk47/ratio20/illustrations/card/ill_82515_tanabatabansuiso05.jpg", "■")</f>
        <v>■</v>
      </c>
      <c r="G120" s="4" t="s">
        <v>1999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t="s">
        <v>2000</v>
      </c>
      <c r="V120" t="s">
        <v>1429</v>
      </c>
      <c r="W120" s="4" t="s">
        <v>1354</v>
      </c>
      <c r="X120" s="4">
        <v>23</v>
      </c>
      <c r="Y120" s="4">
        <v>82185</v>
      </c>
      <c r="Z120" s="4">
        <v>113524</v>
      </c>
      <c r="AA120" s="4" t="s">
        <v>2001</v>
      </c>
      <c r="AB120" s="4" t="s">
        <v>2450</v>
      </c>
    </row>
    <row r="121" spans="1:28">
      <c r="A121" s="4" t="s">
        <v>2002</v>
      </c>
      <c r="B121" s="4">
        <v>82525</v>
      </c>
      <c r="C121" s="4" t="s">
        <v>1351</v>
      </c>
      <c r="D121" s="4" t="s">
        <v>101</v>
      </c>
      <c r="E121" s="5" t="s">
        <v>2003</v>
      </c>
      <c r="F121" s="6" t="str">
        <f>HYPERLINK("https://stat100.ameba.jp/tnk47/ratio20/illustrations/card/ill_82525_meruburea05.jpg", "■")</f>
        <v>■</v>
      </c>
      <c r="G121" s="4" t="s">
        <v>2004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t="s">
        <v>2005</v>
      </c>
      <c r="V121" t="s">
        <v>1429</v>
      </c>
      <c r="W121" s="4" t="s">
        <v>1093</v>
      </c>
      <c r="X121" s="4">
        <v>23</v>
      </c>
      <c r="Y121" s="4">
        <v>113524</v>
      </c>
      <c r="Z121" s="4">
        <v>82185</v>
      </c>
      <c r="AA121" s="4" t="s">
        <v>2006</v>
      </c>
      <c r="AB121" s="4" t="s">
        <v>2451</v>
      </c>
    </row>
    <row r="122" spans="1:28">
      <c r="A122" s="4" t="s">
        <v>2007</v>
      </c>
      <c r="B122" s="4">
        <v>78085</v>
      </c>
      <c r="C122" s="4" t="s">
        <v>1367</v>
      </c>
      <c r="D122" s="4" t="s">
        <v>196</v>
      </c>
      <c r="E122" s="5" t="s">
        <v>2008</v>
      </c>
      <c r="F122" s="6" t="str">
        <f>HYPERLINK("https://stat100.ameba.jp/tnk47/ratio20/illustrations/card/ill_78085_ryoribatoruhidarukami05.jpg", "■")</f>
        <v>■</v>
      </c>
      <c r="G122" s="4" t="s">
        <v>2009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t="s">
        <v>1429</v>
      </c>
      <c r="V122" t="s">
        <v>1855</v>
      </c>
      <c r="W122" s="4" t="s">
        <v>1093</v>
      </c>
      <c r="X122" s="4">
        <v>23</v>
      </c>
      <c r="Y122" s="4">
        <v>119173</v>
      </c>
      <c r="Z122" s="4">
        <v>164590</v>
      </c>
      <c r="AA122" s="4" t="s">
        <v>2010</v>
      </c>
      <c r="AB122" s="4" t="s">
        <v>2011</v>
      </c>
    </row>
    <row r="123" spans="1:28">
      <c r="A123" s="4" t="s">
        <v>2012</v>
      </c>
      <c r="B123" s="4">
        <v>83055</v>
      </c>
      <c r="C123" s="4" t="s">
        <v>2013</v>
      </c>
      <c r="D123" s="4" t="s">
        <v>132</v>
      </c>
      <c r="E123" s="5" t="s">
        <v>2014</v>
      </c>
      <c r="F123" s="6" t="str">
        <f>HYPERLINK("https://stat100.ameba.jp/tnk47/ratio20/illustrations/card/ill_83055_kyofunobyotohakutsuru05.jpg", "■")</f>
        <v>■</v>
      </c>
      <c r="G123" s="4" t="s">
        <v>2015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t="s">
        <v>1429</v>
      </c>
      <c r="V123" t="s">
        <v>1429</v>
      </c>
      <c r="W123" s="4" t="s">
        <v>1093</v>
      </c>
      <c r="X123" s="4">
        <v>23</v>
      </c>
      <c r="Y123" s="4">
        <v>115364</v>
      </c>
      <c r="Z123" s="4">
        <v>83544</v>
      </c>
      <c r="AA123" s="4" t="s">
        <v>2016</v>
      </c>
      <c r="AB123" s="4" t="s">
        <v>2452</v>
      </c>
    </row>
    <row r="124" spans="1:28">
      <c r="A124" s="4" t="s">
        <v>2017</v>
      </c>
      <c r="B124" s="4">
        <v>83065</v>
      </c>
      <c r="C124" s="4" t="s">
        <v>1367</v>
      </c>
      <c r="D124" s="4" t="s">
        <v>107</v>
      </c>
      <c r="E124" s="5" t="s">
        <v>2018</v>
      </c>
      <c r="F124" s="6" t="str">
        <f>HYPERLINK("https://stat100.ameba.jp/tnk47/ratio20/illustrations/card/ill_83065_aisumajishan05.jpg", "■")</f>
        <v>■</v>
      </c>
      <c r="G124" s="4" t="s">
        <v>2019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t="s">
        <v>1429</v>
      </c>
      <c r="V124" t="s">
        <v>1429</v>
      </c>
      <c r="W124" s="4" t="s">
        <v>1093</v>
      </c>
      <c r="X124" s="4">
        <v>23</v>
      </c>
      <c r="Y124" s="4">
        <v>94697</v>
      </c>
      <c r="Z124" s="4">
        <v>130772</v>
      </c>
      <c r="AA124" s="4" t="s">
        <v>2020</v>
      </c>
      <c r="AB124" s="4" t="s">
        <v>2453</v>
      </c>
    </row>
    <row r="125" spans="1:28">
      <c r="A125" s="4" t="s">
        <v>2021</v>
      </c>
      <c r="B125" s="4">
        <v>83075</v>
      </c>
      <c r="C125" s="4" t="s">
        <v>1351</v>
      </c>
      <c r="D125" s="4" t="s">
        <v>89</v>
      </c>
      <c r="E125" s="5" t="s">
        <v>2022</v>
      </c>
      <c r="F125" s="6" t="str">
        <f>HYPERLINK("https://stat100.ameba.jp/tnk47/ratio20/illustrations/card/ill_83075_parakerusutera05.jpg", "■")</f>
        <v>■</v>
      </c>
      <c r="G125" s="4" t="s">
        <v>2023</v>
      </c>
      <c r="H125" s="13" t="s">
        <v>1569</v>
      </c>
      <c r="I125"/>
      <c r="J125"/>
      <c r="K125"/>
      <c r="L125"/>
      <c r="M125"/>
      <c r="N125"/>
      <c r="O125"/>
      <c r="P125"/>
      <c r="Q125"/>
      <c r="R125"/>
      <c r="S125"/>
      <c r="T125"/>
      <c r="U125" t="s">
        <v>1429</v>
      </c>
      <c r="V125" t="s">
        <v>1429</v>
      </c>
      <c r="W125" s="4" t="s">
        <v>1093</v>
      </c>
      <c r="X125" s="4">
        <v>23</v>
      </c>
      <c r="Y125" s="4">
        <v>78289</v>
      </c>
      <c r="Z125" s="4">
        <v>108130</v>
      </c>
      <c r="AA125" s="4" t="s">
        <v>2024</v>
      </c>
      <c r="AB125" s="4" t="s">
        <v>2430</v>
      </c>
    </row>
    <row r="126" spans="1:28">
      <c r="A126" s="4" t="s">
        <v>2025</v>
      </c>
      <c r="B126" s="4">
        <v>83645</v>
      </c>
      <c r="C126" s="4" t="s">
        <v>1367</v>
      </c>
      <c r="D126" s="4" t="s">
        <v>63</v>
      </c>
      <c r="E126" s="5" t="s">
        <v>2026</v>
      </c>
      <c r="F126" s="6" t="str">
        <f>HYPERLINK("https://stat100.ameba.jp/tnk47/ratio20/illustrations/card/ill_83645_yuenchihazadoehimenomikoto05.jpg", "■")</f>
        <v>■</v>
      </c>
      <c r="G126" s="4" t="s">
        <v>2027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t="s">
        <v>2028</v>
      </c>
      <c r="V126" t="s">
        <v>1429</v>
      </c>
      <c r="W126" s="4" t="s">
        <v>1354</v>
      </c>
      <c r="X126" s="4">
        <v>24</v>
      </c>
      <c r="Y126" s="4">
        <v>112832</v>
      </c>
      <c r="Z126" s="4">
        <v>81692</v>
      </c>
      <c r="AA126" s="4" t="s">
        <v>2029</v>
      </c>
      <c r="AB126" s="4" t="s">
        <v>2454</v>
      </c>
    </row>
    <row r="127" spans="1:28">
      <c r="A127" s="4" t="s">
        <v>2030</v>
      </c>
      <c r="B127" s="4">
        <v>83655</v>
      </c>
      <c r="C127" s="4" t="s">
        <v>1351</v>
      </c>
      <c r="D127" s="4" t="s">
        <v>15</v>
      </c>
      <c r="E127" s="5" t="s">
        <v>2031</v>
      </c>
      <c r="F127" s="6" t="str">
        <f>HYPERLINK("https://stat100.ameba.jp/tnk47/ratio20/illustrations/card/ill_83655_madamubatafurai05.jpg", "■")</f>
        <v>■</v>
      </c>
      <c r="G127" s="4" t="s">
        <v>2032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t="s">
        <v>2033</v>
      </c>
      <c r="V127" t="s">
        <v>1429</v>
      </c>
      <c r="W127" s="4" t="s">
        <v>1354</v>
      </c>
      <c r="X127" s="4">
        <v>24</v>
      </c>
      <c r="Y127" s="4">
        <v>136458</v>
      </c>
      <c r="Z127" s="4">
        <v>98816</v>
      </c>
      <c r="AA127" s="4" t="s">
        <v>2034</v>
      </c>
      <c r="AB127" s="4" t="s">
        <v>2035</v>
      </c>
    </row>
    <row r="128" spans="1:28">
      <c r="A128" s="4" t="s">
        <v>2036</v>
      </c>
      <c r="B128" s="4">
        <v>83665</v>
      </c>
      <c r="C128" s="4" t="s">
        <v>1367</v>
      </c>
      <c r="D128" s="4" t="s">
        <v>79</v>
      </c>
      <c r="E128" s="5" t="s">
        <v>2037</v>
      </c>
      <c r="F128" s="6" t="str">
        <f>HYPERLINK("https://stat100.ameba.jp/tnk47/ratio20/illustrations/card/ill_83665_nijiironomajutsushitencha05.jpg", "■")</f>
        <v>■</v>
      </c>
      <c r="G128" s="4" t="s">
        <v>2038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t="s">
        <v>1429</v>
      </c>
      <c r="V128" t="s">
        <v>1429</v>
      </c>
      <c r="W128" s="4" t="s">
        <v>1093</v>
      </c>
      <c r="X128" s="4">
        <v>24</v>
      </c>
      <c r="Y128" s="4">
        <v>180306</v>
      </c>
      <c r="Z128" s="4">
        <v>130562</v>
      </c>
      <c r="AA128" s="4" t="s">
        <v>2039</v>
      </c>
      <c r="AB128" s="4" t="s">
        <v>2040</v>
      </c>
    </row>
    <row r="129" spans="1:28">
      <c r="A129" s="4" t="s">
        <v>1869</v>
      </c>
      <c r="B129" s="4">
        <v>84295</v>
      </c>
      <c r="C129" s="4" t="s">
        <v>1351</v>
      </c>
      <c r="D129" s="4" t="s">
        <v>107</v>
      </c>
      <c r="E129" s="5" t="s">
        <v>2041</v>
      </c>
      <c r="F129" s="6" t="str">
        <f>HYPERLINK("https://stat100.ameba.jp/tnk47/ratio20/illustrations/card/ill_84295_yokaitaisemmakaron05.jpg", "■")</f>
        <v>■</v>
      </c>
      <c r="G129" s="4" t="s">
        <v>2042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t="s">
        <v>1429</v>
      </c>
      <c r="V129" t="s">
        <v>1429</v>
      </c>
      <c r="W129" s="4" t="s">
        <v>1093</v>
      </c>
      <c r="X129" s="4">
        <v>24</v>
      </c>
      <c r="Y129" s="4">
        <v>143278</v>
      </c>
      <c r="Z129" s="4">
        <v>103746</v>
      </c>
      <c r="AA129" s="4" t="s">
        <v>2043</v>
      </c>
      <c r="AB129" s="4" t="s">
        <v>1620</v>
      </c>
    </row>
    <row r="130" spans="1:28">
      <c r="A130" s="4" t="s">
        <v>2044</v>
      </c>
      <c r="B130" s="4">
        <v>84305</v>
      </c>
      <c r="C130" s="4" t="s">
        <v>1367</v>
      </c>
      <c r="D130" s="4" t="s">
        <v>101</v>
      </c>
      <c r="E130" s="5" t="s">
        <v>2045</v>
      </c>
      <c r="F130" s="6" t="str">
        <f>HYPERLINK("https://stat100.ameba.jp/tnk47/ratio20/illustrations/card/ill_84305_ryukenshisukura05.jpg", "■")</f>
        <v>■</v>
      </c>
      <c r="G130" s="4" t="s">
        <v>2046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t="s">
        <v>1429</v>
      </c>
      <c r="V130" t="s">
        <v>1429</v>
      </c>
      <c r="W130" s="4" t="s">
        <v>1093</v>
      </c>
      <c r="X130" s="4">
        <v>24</v>
      </c>
      <c r="Y130" s="4">
        <v>118460</v>
      </c>
      <c r="Z130" s="4">
        <v>85758</v>
      </c>
      <c r="AA130" s="4" t="s">
        <v>2047</v>
      </c>
      <c r="AB130" s="4" t="s">
        <v>2451</v>
      </c>
    </row>
    <row r="131" spans="1:28">
      <c r="A131" s="4" t="s">
        <v>1879</v>
      </c>
      <c r="B131" s="4">
        <v>84315</v>
      </c>
      <c r="C131" s="4" t="s">
        <v>1367</v>
      </c>
      <c r="D131" s="4" t="s">
        <v>132</v>
      </c>
      <c r="E131" s="5" t="s">
        <v>2048</v>
      </c>
      <c r="F131" s="6" t="str">
        <f>HYPERLINK("https://stat100.ameba.jp/tnk47/ratio20/illustrations/card/ill_84315_koinuru05.jpg", "■")</f>
        <v>■</v>
      </c>
      <c r="G131" s="4" t="s">
        <v>2049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t="s">
        <v>1429</v>
      </c>
      <c r="V131" t="s">
        <v>1429</v>
      </c>
      <c r="W131" s="4" t="s">
        <v>1093</v>
      </c>
      <c r="X131" s="4">
        <v>24</v>
      </c>
      <c r="Y131" s="4">
        <v>84828</v>
      </c>
      <c r="Z131" s="4">
        <v>117160</v>
      </c>
      <c r="AA131" s="4" t="s">
        <v>2050</v>
      </c>
      <c r="AB131" s="4" t="s">
        <v>2455</v>
      </c>
    </row>
    <row r="132" spans="1:28">
      <c r="A132" s="4" t="s">
        <v>1534</v>
      </c>
      <c r="B132" s="4">
        <v>85015</v>
      </c>
      <c r="C132" s="4" t="s">
        <v>1351</v>
      </c>
      <c r="D132" s="14" t="s">
        <v>89</v>
      </c>
      <c r="E132" s="5" t="s">
        <v>2051</v>
      </c>
      <c r="F132" s="6" t="str">
        <f>HYPERLINK("https://stat100.ameba.jp/tnk47/ratio20/illustrations/card/ill_85015_yukimomijifujiwaranokiyohira05.jpg", "■")</f>
        <v>■</v>
      </c>
      <c r="G132" s="14" t="s">
        <v>2052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t="s">
        <v>1429</v>
      </c>
      <c r="V132" t="s">
        <v>1429</v>
      </c>
      <c r="W132" s="4" t="s">
        <v>1093</v>
      </c>
      <c r="X132" s="4">
        <v>24</v>
      </c>
      <c r="Y132" s="14">
        <v>180306</v>
      </c>
      <c r="Z132" s="14">
        <v>130562</v>
      </c>
      <c r="AA132" s="14" t="s">
        <v>2053</v>
      </c>
      <c r="AB132" s="14" t="s">
        <v>2456</v>
      </c>
    </row>
    <row r="133" spans="1:28">
      <c r="A133" s="4" t="s">
        <v>1887</v>
      </c>
      <c r="B133" s="14">
        <v>85025</v>
      </c>
      <c r="C133" s="4" t="s">
        <v>1351</v>
      </c>
      <c r="D133" s="14" t="s">
        <v>84</v>
      </c>
      <c r="E133" s="5" t="s">
        <v>2054</v>
      </c>
      <c r="F133" s="6" t="str">
        <f>HYPERLINK("https://stat100.ameba.jp/tnk47/ratio20/illustrations/card/ill_85025_yataiarashinobeze05.jpg", "■")</f>
        <v>■</v>
      </c>
      <c r="G133" s="14" t="s">
        <v>2055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t="s">
        <v>1429</v>
      </c>
      <c r="V133" t="s">
        <v>1429</v>
      </c>
      <c r="W133" s="4" t="s">
        <v>1093</v>
      </c>
      <c r="X133" s="4">
        <v>24</v>
      </c>
      <c r="Y133" s="14">
        <v>118460</v>
      </c>
      <c r="Z133" s="14">
        <v>85758</v>
      </c>
      <c r="AA133" s="14" t="s">
        <v>2056</v>
      </c>
      <c r="AB133" s="14" t="s">
        <v>2457</v>
      </c>
    </row>
    <row r="134" spans="1:28">
      <c r="A134" s="4" t="s">
        <v>1893</v>
      </c>
      <c r="B134" s="4">
        <v>85035</v>
      </c>
      <c r="C134" s="4" t="s">
        <v>1367</v>
      </c>
      <c r="D134" s="4" t="s">
        <v>132</v>
      </c>
      <c r="E134" s="5" t="s">
        <v>2057</v>
      </c>
      <c r="F134" s="6" t="str">
        <f>HYPERLINK("https://stat100.ameba.jp/tnk47/ratio20/illustrations/card/ill_85035_kimononohikaguya05.jpg", "■")</f>
        <v>■</v>
      </c>
      <c r="G134" s="14" t="s">
        <v>2058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t="s">
        <v>1429</v>
      </c>
      <c r="V134" t="s">
        <v>1429</v>
      </c>
      <c r="W134" s="4" t="s">
        <v>1093</v>
      </c>
      <c r="X134" s="4">
        <v>24</v>
      </c>
      <c r="Y134" s="14">
        <v>93866</v>
      </c>
      <c r="Z134" s="14">
        <v>67964</v>
      </c>
      <c r="AA134" s="14" t="s">
        <v>2059</v>
      </c>
      <c r="AB134" s="14" t="s">
        <v>2458</v>
      </c>
    </row>
    <row r="135" spans="1:28">
      <c r="A135" s="4" t="s">
        <v>1545</v>
      </c>
      <c r="B135" s="4">
        <v>85615</v>
      </c>
      <c r="C135" s="4" t="s">
        <v>1351</v>
      </c>
      <c r="D135" s="14" t="s">
        <v>48</v>
      </c>
      <c r="E135" s="5" t="s">
        <v>2060</v>
      </c>
      <c r="F135" s="6" t="str">
        <f>HYPERLINK("https://stat100.ameba.jp/tnk47/ratio20/illustrations/card/ill_85615_kurisumasuotomoegozen05.jpg", "■")</f>
        <v>■</v>
      </c>
      <c r="G135" s="14" t="s">
        <v>2061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t="s">
        <v>2062</v>
      </c>
      <c r="V135" t="s">
        <v>1429</v>
      </c>
      <c r="W135" s="4" t="s">
        <v>1354</v>
      </c>
      <c r="X135" s="4">
        <v>25</v>
      </c>
      <c r="Y135" s="14">
        <v>108069</v>
      </c>
      <c r="Z135" s="14">
        <v>149247</v>
      </c>
      <c r="AA135" s="14" t="s">
        <v>2063</v>
      </c>
      <c r="AB135" s="14" t="s">
        <v>2459</v>
      </c>
    </row>
    <row r="136" spans="1:28">
      <c r="A136" s="4" t="s">
        <v>1903</v>
      </c>
      <c r="B136" s="14">
        <v>85625</v>
      </c>
      <c r="C136" s="4" t="s">
        <v>1367</v>
      </c>
      <c r="D136" s="4" t="s">
        <v>79</v>
      </c>
      <c r="E136" s="5" t="s">
        <v>2064</v>
      </c>
      <c r="F136" s="6" t="str">
        <f>HYPERLINK("https://stat100.ameba.jp/tnk47/ratio20/illustrations/card/ill_85625_shikajoshunomori05.jpg", "■")</f>
        <v>■</v>
      </c>
      <c r="G136" s="14" t="s">
        <v>2065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t="s">
        <v>2066</v>
      </c>
      <c r="V136" t="s">
        <v>1429</v>
      </c>
      <c r="W136" s="4" t="s">
        <v>1354</v>
      </c>
      <c r="X136" s="4">
        <v>25</v>
      </c>
      <c r="Y136" s="14">
        <v>88363</v>
      </c>
      <c r="Z136" s="14">
        <v>122041</v>
      </c>
      <c r="AA136" s="14" t="s">
        <v>2067</v>
      </c>
      <c r="AB136" s="14" t="s">
        <v>1795</v>
      </c>
    </row>
    <row r="137" spans="1:28">
      <c r="A137" s="4" t="s">
        <v>1909</v>
      </c>
      <c r="B137" s="14">
        <v>85635</v>
      </c>
      <c r="C137" s="4" t="s">
        <v>1351</v>
      </c>
      <c r="D137" s="4" t="s">
        <v>196</v>
      </c>
      <c r="E137" s="5" t="s">
        <v>2068</v>
      </c>
      <c r="F137" s="6" t="str">
        <f>HYPERLINK("https://stat100.ameba.jp/tnk47/ratio20/illustrations/card/ill_85635_superubia05.jpg", "■")</f>
        <v>■</v>
      </c>
      <c r="G137" s="14" t="s">
        <v>2069</v>
      </c>
      <c r="H137" s="13" t="s">
        <v>1569</v>
      </c>
      <c r="I137"/>
      <c r="J137"/>
      <c r="K137"/>
      <c r="L137"/>
      <c r="M137"/>
      <c r="N137"/>
      <c r="O137"/>
      <c r="P137"/>
      <c r="Q137"/>
      <c r="R137"/>
      <c r="S137"/>
      <c r="T137"/>
      <c r="U137" t="s">
        <v>1429</v>
      </c>
      <c r="V137" t="s">
        <v>1429</v>
      </c>
      <c r="W137" s="4" t="s">
        <v>1093</v>
      </c>
      <c r="X137" s="4">
        <v>25</v>
      </c>
      <c r="Y137" s="14">
        <v>117532</v>
      </c>
      <c r="Z137" s="14">
        <v>85097</v>
      </c>
      <c r="AA137" s="14" t="s">
        <v>2070</v>
      </c>
      <c r="AB137" s="14" t="s">
        <v>2441</v>
      </c>
    </row>
    <row r="139" spans="1:28">
      <c r="A139" s="4" t="s">
        <v>1410</v>
      </c>
    </row>
    <row r="140" spans="1:28">
      <c r="A140" s="4" t="s">
        <v>1914</v>
      </c>
      <c r="B140" s="4">
        <v>86365</v>
      </c>
      <c r="C140" s="4" t="s">
        <v>1367</v>
      </c>
      <c r="D140" s="4" t="s">
        <v>68</v>
      </c>
      <c r="E140" s="5" t="s">
        <v>2071</v>
      </c>
      <c r="F140" s="6" t="str">
        <f>HYPERLINK("https://stat100.ameba.jp/tnk47/ratio20/illustrations/card/ill_86365_hagoitataisenhinotomiko05.jpg", "■")</f>
        <v>■</v>
      </c>
      <c r="G140" s="14" t="s">
        <v>2072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t="s">
        <v>2073</v>
      </c>
      <c r="V140" t="s">
        <v>1429</v>
      </c>
      <c r="W140" s="4" t="s">
        <v>1093</v>
      </c>
      <c r="X140" s="4">
        <v>25</v>
      </c>
      <c r="Y140" s="14">
        <v>88500</v>
      </c>
      <c r="Z140" s="14">
        <v>122234</v>
      </c>
      <c r="AA140" s="14" t="s">
        <v>2074</v>
      </c>
      <c r="AB140" s="14" t="s">
        <v>2460</v>
      </c>
    </row>
    <row r="141" spans="1:28">
      <c r="A141" s="4" t="s">
        <v>1920</v>
      </c>
      <c r="B141" s="4">
        <v>86375</v>
      </c>
      <c r="C141" s="4" t="s">
        <v>1351</v>
      </c>
      <c r="D141" s="4" t="s">
        <v>63</v>
      </c>
      <c r="E141" s="5" t="s">
        <v>2075</v>
      </c>
      <c r="F141" s="6" t="str">
        <f>HYPERLINK("https://stat100.ameba.jp/tnk47/ratio20/illustrations/card/ill_86375_bakkasu05.jpg", "■")</f>
        <v>■</v>
      </c>
      <c r="G141" s="14" t="s">
        <v>2076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t="s">
        <v>1429</v>
      </c>
      <c r="V141" t="s">
        <v>1429</v>
      </c>
      <c r="W141" s="4" t="s">
        <v>1093</v>
      </c>
      <c r="X141" s="4">
        <v>26</v>
      </c>
      <c r="Y141" s="14">
        <v>88500</v>
      </c>
      <c r="Z141" s="14">
        <v>122234</v>
      </c>
      <c r="AA141" s="14" t="s">
        <v>2077</v>
      </c>
      <c r="AB141" s="14" t="s">
        <v>2434</v>
      </c>
    </row>
    <row r="142" spans="1:28">
      <c r="A142" s="4" t="s">
        <v>1925</v>
      </c>
      <c r="B142" s="4">
        <v>86385</v>
      </c>
      <c r="C142" s="4" t="s">
        <v>1367</v>
      </c>
      <c r="D142" s="14" t="s">
        <v>89</v>
      </c>
      <c r="E142" s="5" t="s">
        <v>2078</v>
      </c>
      <c r="F142" s="6" t="str">
        <f>HYPERLINK("https://stat100.ameba.jp/tnk47/ratio20/illustrations/card/ill_86385_jirudorei05.jpg", "■")</f>
        <v>■</v>
      </c>
      <c r="G142" s="4" t="s">
        <v>2079</v>
      </c>
      <c r="U142" t="s">
        <v>2080</v>
      </c>
      <c r="V142" t="s">
        <v>1429</v>
      </c>
      <c r="W142" s="4" t="s">
        <v>1354</v>
      </c>
      <c r="X142" s="4">
        <v>26</v>
      </c>
      <c r="Y142" s="4">
        <v>141442</v>
      </c>
      <c r="Z142" s="4">
        <v>195332</v>
      </c>
      <c r="AA142" s="4" t="s">
        <v>2081</v>
      </c>
      <c r="AB142" s="4" t="s">
        <v>2082</v>
      </c>
    </row>
    <row r="143" spans="1:28">
      <c r="A143" s="4" t="s">
        <v>1566</v>
      </c>
      <c r="B143" s="4">
        <v>86985</v>
      </c>
      <c r="C143" s="4" t="s">
        <v>1367</v>
      </c>
      <c r="D143" s="4" t="s">
        <v>68</v>
      </c>
      <c r="E143" s="5" t="s">
        <v>2083</v>
      </c>
      <c r="F143" s="6" t="str">
        <f>HYPERLINK("https://stat100.ameba.jp/tnk47/ratio20/illustrations/card/ill_86985_setsubunkamejuhime05.jpg", "■")</f>
        <v>■</v>
      </c>
      <c r="G143" s="4" t="s">
        <v>2084</v>
      </c>
      <c r="U143" t="s">
        <v>2085</v>
      </c>
      <c r="V143" t="s">
        <v>1429</v>
      </c>
      <c r="W143" s="4" t="s">
        <v>1354</v>
      </c>
      <c r="X143" s="4">
        <v>26</v>
      </c>
      <c r="Y143" s="4">
        <v>117368</v>
      </c>
      <c r="Z143" s="4">
        <v>89910</v>
      </c>
      <c r="AA143" s="4" t="s">
        <v>2086</v>
      </c>
      <c r="AB143" s="4" t="s">
        <v>2087</v>
      </c>
    </row>
    <row r="144" spans="1:28">
      <c r="A144" s="4" t="s">
        <v>1933</v>
      </c>
      <c r="B144" s="4">
        <v>86995</v>
      </c>
      <c r="C144" s="4" t="s">
        <v>1367</v>
      </c>
      <c r="D144" s="4" t="s">
        <v>33</v>
      </c>
      <c r="E144" s="5" t="s">
        <v>2088</v>
      </c>
      <c r="F144" s="6" t="str">
        <f>HYPERLINK("https://stat100.ameba.jp/tnk47/ratio20/illustrations/card/ill_86995_yai05.jpg", "■")</f>
        <v>■</v>
      </c>
      <c r="G144" s="4" t="s">
        <v>2089</v>
      </c>
      <c r="U144" t="s">
        <v>2090</v>
      </c>
      <c r="V144" t="s">
        <v>1429</v>
      </c>
      <c r="W144" s="4" t="s">
        <v>1354</v>
      </c>
      <c r="X144" s="4">
        <v>26</v>
      </c>
      <c r="Y144" s="4">
        <v>122234</v>
      </c>
      <c r="Z144" s="4">
        <v>88500</v>
      </c>
      <c r="AA144" s="4" t="s">
        <v>2091</v>
      </c>
      <c r="AB144" s="4" t="s">
        <v>2092</v>
      </c>
    </row>
    <row r="145" spans="1:28">
      <c r="A145" s="4" t="s">
        <v>1938</v>
      </c>
      <c r="B145" s="4">
        <v>87005</v>
      </c>
      <c r="C145" s="4" t="s">
        <v>1351</v>
      </c>
      <c r="D145" s="4" t="s">
        <v>132</v>
      </c>
      <c r="E145" s="5" t="s">
        <v>2093</v>
      </c>
      <c r="F145" s="6" t="str">
        <f>HYPERLINK("https://stat100.ameba.jp/tnk47/ratio20/illustrations/card/ill_87005_okashinokunigureteru05.jpg", "■")</f>
        <v>■</v>
      </c>
      <c r="G145" s="4" t="s">
        <v>2094</v>
      </c>
      <c r="H145" s="13" t="s">
        <v>1569</v>
      </c>
      <c r="U145" t="s">
        <v>1429</v>
      </c>
      <c r="V145" t="s">
        <v>1429</v>
      </c>
      <c r="W145" s="4" t="s">
        <v>1093</v>
      </c>
      <c r="X145" s="4">
        <v>26</v>
      </c>
      <c r="Y145" s="4">
        <v>94442</v>
      </c>
      <c r="Z145" s="4">
        <v>130412</v>
      </c>
      <c r="AA145" s="4" t="s">
        <v>2095</v>
      </c>
      <c r="AB145" s="4" t="s">
        <v>2461</v>
      </c>
    </row>
    <row r="146" spans="1:28">
      <c r="A146" s="4" t="s">
        <v>1581</v>
      </c>
      <c r="B146" s="4">
        <v>87735</v>
      </c>
      <c r="C146" s="4" t="s">
        <v>1367</v>
      </c>
      <c r="D146" s="4" t="s">
        <v>107</v>
      </c>
      <c r="E146" s="5" t="s">
        <v>2096</v>
      </c>
      <c r="F146" s="6" t="str">
        <f>HYPERLINK("https://stat100.ameba.jp/tnk47/ratio20/illustrations/card/ill_87735_seikasodatsusemmizutakisan05.jpg", "■")</f>
        <v>■</v>
      </c>
      <c r="G146" s="4" t="s">
        <v>2097</v>
      </c>
      <c r="U146" t="s">
        <v>1429</v>
      </c>
      <c r="V146" t="s">
        <v>1429</v>
      </c>
      <c r="W146" s="4" t="s">
        <v>1093</v>
      </c>
      <c r="X146" s="4">
        <v>26</v>
      </c>
      <c r="Y146" s="4">
        <v>150308</v>
      </c>
      <c r="Z146" s="4">
        <v>108814</v>
      </c>
      <c r="AA146" s="4" t="s">
        <v>2098</v>
      </c>
      <c r="AB146" s="4" t="s">
        <v>2462</v>
      </c>
    </row>
    <row r="147" spans="1:28">
      <c r="A147" s="4" t="s">
        <v>2099</v>
      </c>
      <c r="B147" s="4">
        <v>87755</v>
      </c>
      <c r="C147" s="4" t="s">
        <v>1367</v>
      </c>
      <c r="D147" s="4" t="s">
        <v>63</v>
      </c>
      <c r="E147" s="4" t="s">
        <v>2100</v>
      </c>
      <c r="F147" s="6" t="str">
        <f>HYPERLINK("https://stat100.ameba.jp/tnk47/ratio20/illustrations/card/ill_87755_ginyushijinrei05.jpg", "■")</f>
        <v>■</v>
      </c>
      <c r="G147" s="4" t="s">
        <v>2101</v>
      </c>
      <c r="U147" t="s">
        <v>1429</v>
      </c>
      <c r="V147" t="s">
        <v>1429</v>
      </c>
      <c r="W147" s="4" t="s">
        <v>1093</v>
      </c>
      <c r="X147" s="4">
        <v>26</v>
      </c>
      <c r="Y147" s="4">
        <v>88500</v>
      </c>
      <c r="Z147" s="4">
        <v>122234</v>
      </c>
      <c r="AA147" s="4" t="s">
        <v>2102</v>
      </c>
      <c r="AB147" s="4" t="s">
        <v>2103</v>
      </c>
    </row>
    <row r="148" spans="1:28">
      <c r="A148" s="4" t="s">
        <v>1950</v>
      </c>
      <c r="B148" s="4">
        <v>87745</v>
      </c>
      <c r="C148" s="4" t="s">
        <v>1351</v>
      </c>
      <c r="D148" s="4" t="s">
        <v>107</v>
      </c>
      <c r="E148" s="4" t="s">
        <v>2104</v>
      </c>
      <c r="F148" s="6" t="str">
        <f>HYPERLINK("https://stat100.ameba.jp/tnk47/ratio20/illustrations/card/ill_87745_purinsesushokora05.jpg", "■")</f>
        <v>■</v>
      </c>
      <c r="G148" s="4" t="s">
        <v>2105</v>
      </c>
      <c r="U148" t="s">
        <v>1429</v>
      </c>
      <c r="V148" t="s">
        <v>1429</v>
      </c>
      <c r="W148" s="4" t="s">
        <v>1093</v>
      </c>
      <c r="X148" s="4">
        <v>26</v>
      </c>
      <c r="Y148" s="4">
        <v>94442</v>
      </c>
      <c r="Z148" s="4">
        <v>130412</v>
      </c>
      <c r="AA148" s="4" t="s">
        <v>2106</v>
      </c>
      <c r="AB148" s="4" t="s">
        <v>2463</v>
      </c>
    </row>
    <row r="149" spans="1:28">
      <c r="A149" s="4" t="s">
        <v>1955</v>
      </c>
      <c r="B149" s="4">
        <v>88455</v>
      </c>
      <c r="C149" s="4" t="s">
        <v>1351</v>
      </c>
      <c r="D149" s="4" t="s">
        <v>63</v>
      </c>
      <c r="E149" s="15" t="s">
        <v>2107</v>
      </c>
      <c r="F149" s="6" t="str">
        <f>HYPERLINK("https://stat100.ameba.jp/tnk47/ratio20/illustrations/card/ill_88455_puroresufudomyoo05.jpg", "■")</f>
        <v>■</v>
      </c>
      <c r="G149" s="4" t="s">
        <v>2108</v>
      </c>
      <c r="U149" t="s">
        <v>1429</v>
      </c>
      <c r="V149" t="s">
        <v>1429</v>
      </c>
      <c r="W149" s="4" t="s">
        <v>1093</v>
      </c>
      <c r="X149" s="4">
        <v>26</v>
      </c>
      <c r="Y149" s="4">
        <v>134052</v>
      </c>
      <c r="Z149" s="4">
        <v>97052</v>
      </c>
      <c r="AA149" s="4" t="s">
        <v>2109</v>
      </c>
      <c r="AB149" s="4" t="s">
        <v>2464</v>
      </c>
    </row>
    <row r="150" spans="1:28">
      <c r="A150" s="17" t="s">
        <v>2260</v>
      </c>
      <c r="B150" s="17">
        <v>88465</v>
      </c>
      <c r="C150" s="17" t="s">
        <v>1367</v>
      </c>
      <c r="D150" s="17" t="s">
        <v>2262</v>
      </c>
      <c r="E150" s="17" t="s">
        <v>2261</v>
      </c>
      <c r="F150" s="6" t="str">
        <f>HYPERLINK("https://stat100.ameba.jp/tnk47/ratio20/illustrations/card/ill_88465_sotonoarubebira05.jpg", "■")</f>
        <v>■</v>
      </c>
      <c r="G150" s="17" t="s">
        <v>2263</v>
      </c>
      <c r="U150" t="s">
        <v>1429</v>
      </c>
      <c r="V150" t="s">
        <v>1429</v>
      </c>
      <c r="W150" s="17" t="s">
        <v>1093</v>
      </c>
      <c r="X150" s="17">
        <v>26</v>
      </c>
      <c r="Y150" s="17">
        <v>186058</v>
      </c>
      <c r="Z150" s="17">
        <v>134718</v>
      </c>
      <c r="AA150" s="17" t="s">
        <v>2264</v>
      </c>
      <c r="AB150" s="17" t="s">
        <v>2465</v>
      </c>
    </row>
    <row r="151" spans="1:28">
      <c r="A151" s="18" t="s">
        <v>1963</v>
      </c>
      <c r="B151" s="4">
        <v>88475</v>
      </c>
      <c r="C151" s="18" t="s">
        <v>1351</v>
      </c>
      <c r="D151" s="4" t="s">
        <v>2266</v>
      </c>
      <c r="E151" s="4" t="s">
        <v>2265</v>
      </c>
      <c r="F151" s="6" t="str">
        <f>HYPERLINK("https://stat100.ameba.jp/tnk47/ratio20/illustrations/card/ill_88475_baiorinisutosentsua05.jpg", "■")</f>
        <v>■</v>
      </c>
      <c r="G151" s="4" t="s">
        <v>2267</v>
      </c>
      <c r="H151" s="13" t="s">
        <v>1569</v>
      </c>
      <c r="U151" t="s">
        <v>1429</v>
      </c>
      <c r="V151" t="s">
        <v>1429</v>
      </c>
      <c r="W151" s="18" t="s">
        <v>1093</v>
      </c>
      <c r="X151" s="18">
        <v>26</v>
      </c>
      <c r="Y151" s="4">
        <v>107050</v>
      </c>
      <c r="Z151" s="4">
        <v>147830</v>
      </c>
      <c r="AA151" s="4" t="s">
        <v>2268</v>
      </c>
      <c r="AB151" s="4" t="s">
        <v>2269</v>
      </c>
    </row>
    <row r="152" spans="1:28">
      <c r="A152" s="22" t="s">
        <v>1967</v>
      </c>
      <c r="B152" s="4">
        <v>89165</v>
      </c>
      <c r="C152" s="24" t="s">
        <v>1367</v>
      </c>
      <c r="D152" s="4" t="s">
        <v>2297</v>
      </c>
      <c r="E152" s="4" t="s">
        <v>2296</v>
      </c>
      <c r="F152" s="25" t="str">
        <f>HYPERLINK("https://stat100.ameba.jp/tnk47/ratio20/illustrations/card/ill_89165_uchusensohottakichiko05.jpg", "■")</f>
        <v>■</v>
      </c>
      <c r="G152" s="4" t="s">
        <v>2298</v>
      </c>
      <c r="U152" s="23" t="s">
        <v>1429</v>
      </c>
      <c r="V152" s="23" t="s">
        <v>1429</v>
      </c>
      <c r="W152" s="24" t="s">
        <v>1093</v>
      </c>
      <c r="X152" s="4">
        <v>27</v>
      </c>
      <c r="Y152" s="26">
        <v>138370</v>
      </c>
      <c r="Z152" s="26">
        <v>100195</v>
      </c>
      <c r="AA152" s="27" t="s">
        <v>2299</v>
      </c>
      <c r="AB152" s="27" t="s">
        <v>2300</v>
      </c>
    </row>
    <row r="153" spans="1:28">
      <c r="A153" s="30" t="s">
        <v>2305</v>
      </c>
      <c r="B153" s="4">
        <v>89175</v>
      </c>
      <c r="C153" s="30" t="s">
        <v>1351</v>
      </c>
      <c r="D153" s="4" t="s">
        <v>2306</v>
      </c>
      <c r="E153" s="4" t="s">
        <v>2309</v>
      </c>
      <c r="F153" s="25" t="str">
        <f>HYPERLINK("https://stat100.ameba.jp/tnk47/ratio20/illustrations/card/ill_89175_yuamimuman05.jpg", "■")</f>
        <v>■</v>
      </c>
      <c r="G153" s="4" t="s">
        <v>2308</v>
      </c>
      <c r="U153" s="23" t="s">
        <v>1429</v>
      </c>
      <c r="V153" s="23" t="s">
        <v>1429</v>
      </c>
      <c r="W153" s="30" t="s">
        <v>1093</v>
      </c>
      <c r="X153" s="30">
        <v>27</v>
      </c>
      <c r="Y153" s="4">
        <v>111167</v>
      </c>
      <c r="Z153" s="4">
        <v>153514</v>
      </c>
      <c r="AA153" s="4" t="s">
        <v>2307</v>
      </c>
      <c r="AB153" s="4" t="s">
        <v>2466</v>
      </c>
    </row>
    <row r="154" spans="1:28">
      <c r="A154" s="31" t="s">
        <v>1975</v>
      </c>
      <c r="B154" s="4">
        <v>89185</v>
      </c>
      <c r="C154" s="31" t="s">
        <v>1367</v>
      </c>
      <c r="D154" s="31" t="s">
        <v>132</v>
      </c>
      <c r="E154" s="4" t="s">
        <v>2310</v>
      </c>
      <c r="F154" s="25" t="str">
        <f>HYPERLINK("https://stat100.ameba.jp/tnk47/ratio20/illustrations/card/ill_89185_funsaimetaruroddo05.jpg", "■")</f>
        <v>■</v>
      </c>
      <c r="G154" s="4" t="s">
        <v>2311</v>
      </c>
      <c r="H154" s="13" t="s">
        <v>1569</v>
      </c>
      <c r="U154" s="23" t="s">
        <v>1429</v>
      </c>
      <c r="V154" s="23" t="s">
        <v>1429</v>
      </c>
      <c r="W154" s="31" t="s">
        <v>1093</v>
      </c>
      <c r="X154" s="31">
        <v>27</v>
      </c>
      <c r="Y154" s="4">
        <v>95431</v>
      </c>
      <c r="Z154" s="4">
        <v>131805</v>
      </c>
      <c r="AA154" s="4" t="s">
        <v>2312</v>
      </c>
      <c r="AB154" s="4" t="s">
        <v>2467</v>
      </c>
    </row>
    <row r="155" spans="1:28">
      <c r="A155" s="35" t="s">
        <v>1980</v>
      </c>
      <c r="B155" s="4">
        <v>89795</v>
      </c>
      <c r="C155" s="35" t="s">
        <v>1367</v>
      </c>
      <c r="D155" s="35" t="s">
        <v>68</v>
      </c>
      <c r="E155" s="4" t="s">
        <v>2318</v>
      </c>
      <c r="F155" s="25" t="str">
        <f>HYPERLINK("https://stat100.ameba.jp/tnk47/ratio20/illustrations/card/ill_89795_sennyusosayozenin05.jpg", "■")</f>
        <v>■</v>
      </c>
      <c r="G155" s="4" t="s">
        <v>2319</v>
      </c>
      <c r="U155" s="23" t="s">
        <v>1429</v>
      </c>
      <c r="V155" s="23" t="s">
        <v>1429</v>
      </c>
      <c r="W155" s="35" t="s">
        <v>1093</v>
      </c>
      <c r="X155" s="35">
        <v>27</v>
      </c>
      <c r="Y155" s="4">
        <v>133266</v>
      </c>
      <c r="Z155" s="4">
        <v>96477</v>
      </c>
      <c r="AA155" s="4" t="s">
        <v>2320</v>
      </c>
      <c r="AB155" s="4" t="s">
        <v>2468</v>
      </c>
    </row>
    <row r="156" spans="1:28">
      <c r="A156" s="39" t="s">
        <v>2369</v>
      </c>
      <c r="B156" s="39">
        <v>89805</v>
      </c>
      <c r="C156" s="39" t="s">
        <v>1351</v>
      </c>
      <c r="D156" s="39" t="s">
        <v>2371</v>
      </c>
      <c r="E156" s="39" t="s">
        <v>2372</v>
      </c>
      <c r="F156" s="25" t="str">
        <f>HYPERLINK("https://stat100.ameba.jp/tnk47/ratio20/illustrations/card/ill_89805_cheripai05.jpg", "■")</f>
        <v>■</v>
      </c>
      <c r="G156" s="39" t="s">
        <v>2373</v>
      </c>
      <c r="U156" s="23" t="s">
        <v>1429</v>
      </c>
      <c r="V156" s="23" t="s">
        <v>1429</v>
      </c>
      <c r="W156" s="39" t="s">
        <v>1093</v>
      </c>
      <c r="X156" s="39">
        <v>27</v>
      </c>
      <c r="Y156" s="39">
        <v>193214</v>
      </c>
      <c r="Z156" s="39">
        <v>139899</v>
      </c>
      <c r="AA156" s="39" t="s">
        <v>2374</v>
      </c>
      <c r="AB156" s="39" t="s">
        <v>2469</v>
      </c>
    </row>
    <row r="157" spans="1:28">
      <c r="A157" s="39" t="s">
        <v>1991</v>
      </c>
      <c r="B157" s="4">
        <v>89815</v>
      </c>
      <c r="C157" s="39" t="s">
        <v>1367</v>
      </c>
      <c r="D157" s="39" t="s">
        <v>2376</v>
      </c>
      <c r="E157" s="39" t="s">
        <v>2375</v>
      </c>
      <c r="F157" s="25" t="str">
        <f>HYPERLINK("https://stat100.ameba.jp/tnk47/ratio20/illustrations/card/ill_89815_bukenohanayomekuchinashi05.jpg", "■")</f>
        <v>■</v>
      </c>
      <c r="G157" s="39" t="s">
        <v>2377</v>
      </c>
      <c r="U157" s="23" t="s">
        <v>1429</v>
      </c>
      <c r="V157" s="23" t="s">
        <v>1429</v>
      </c>
      <c r="W157" s="39" t="s">
        <v>1093</v>
      </c>
      <c r="X157" s="39">
        <v>27</v>
      </c>
      <c r="Y157" s="39">
        <v>95431</v>
      </c>
      <c r="Z157" s="39">
        <v>131805</v>
      </c>
      <c r="AA157" s="39" t="s">
        <v>2378</v>
      </c>
      <c r="AB157" s="39" t="s">
        <v>2470</v>
      </c>
    </row>
    <row r="158" spans="1:28">
      <c r="A158" s="39" t="s">
        <v>1997</v>
      </c>
      <c r="B158" s="39">
        <v>90485</v>
      </c>
      <c r="C158" s="39" t="s">
        <v>1367</v>
      </c>
      <c r="D158" s="39" t="s">
        <v>196</v>
      </c>
      <c r="E158" s="15" t="s">
        <v>2379</v>
      </c>
      <c r="F158" s="25" t="str">
        <f>HYPERLINK("https://stat100.ameba.jp/tnk47/ratio20/illustrations/card/ill_90485_daikaizokunoboreikamaitachi05.jpg", "■")</f>
        <v>■</v>
      </c>
      <c r="G158" s="39" t="s">
        <v>2380</v>
      </c>
      <c r="U158" s="23" t="s">
        <v>2489</v>
      </c>
      <c r="V158" s="23" t="s">
        <v>1429</v>
      </c>
      <c r="W158" s="52" t="s">
        <v>1354</v>
      </c>
      <c r="X158" s="39">
        <v>27</v>
      </c>
      <c r="Y158" s="39">
        <v>202845</v>
      </c>
      <c r="Z158" s="39">
        <v>146883</v>
      </c>
      <c r="AA158" s="39" t="s">
        <v>2381</v>
      </c>
      <c r="AB158" s="39" t="s">
        <v>2471</v>
      </c>
    </row>
    <row r="159" spans="1:28">
      <c r="A159" s="39" t="s">
        <v>2370</v>
      </c>
      <c r="B159" s="4">
        <v>90495</v>
      </c>
      <c r="C159" s="39" t="s">
        <v>1351</v>
      </c>
      <c r="D159" s="39" t="s">
        <v>2395</v>
      </c>
      <c r="E159" s="39" t="s">
        <v>2396</v>
      </c>
      <c r="F159" s="25" t="str">
        <f>HYPERLINK("https://stat100.ameba.jp/tnk47/ratio20/illustrations/card/ill_90495_rosutotekunoroji05.jpg", "■")</f>
        <v>■</v>
      </c>
      <c r="G159" s="39" t="s">
        <v>2394</v>
      </c>
      <c r="U159" s="23" t="s">
        <v>1429</v>
      </c>
      <c r="V159" s="23" t="s">
        <v>1429</v>
      </c>
      <c r="W159" s="39" t="s">
        <v>1093</v>
      </c>
      <c r="X159" s="39">
        <v>27</v>
      </c>
      <c r="Y159" s="39">
        <v>131805</v>
      </c>
      <c r="Z159" s="39">
        <v>95431</v>
      </c>
      <c r="AA159" s="39" t="s">
        <v>2397</v>
      </c>
      <c r="AB159" s="39" t="s">
        <v>2472</v>
      </c>
    </row>
    <row r="160" spans="1:28">
      <c r="A160" s="39" t="s">
        <v>2007</v>
      </c>
      <c r="B160" s="4">
        <v>90505</v>
      </c>
      <c r="C160" s="39" t="s">
        <v>1367</v>
      </c>
      <c r="D160" s="39" t="s">
        <v>89</v>
      </c>
      <c r="E160" s="39" t="s">
        <v>2382</v>
      </c>
      <c r="F160" s="25" t="str">
        <f>HYPERLINK("https://stat100.ameba.jp/tnk47/ratio20/illustrations/card/ill_90505_jijoberite05.jpg", "■")</f>
        <v>■</v>
      </c>
      <c r="G160" s="39" t="s">
        <v>2383</v>
      </c>
      <c r="U160" s="23" t="s">
        <v>1429</v>
      </c>
      <c r="V160" s="23" t="s">
        <v>1429</v>
      </c>
      <c r="W160" s="39" t="s">
        <v>1093</v>
      </c>
      <c r="X160" s="39">
        <v>27</v>
      </c>
      <c r="Y160" s="39">
        <v>193214</v>
      </c>
      <c r="Z160" s="39">
        <v>139899</v>
      </c>
      <c r="AA160" s="39" t="s">
        <v>2384</v>
      </c>
      <c r="AB160" s="39" t="s">
        <v>2473</v>
      </c>
    </row>
    <row r="161" spans="1:28">
      <c r="A161" s="39" t="s">
        <v>2012</v>
      </c>
      <c r="B161" s="39">
        <v>91165</v>
      </c>
      <c r="C161" s="39" t="s">
        <v>1351</v>
      </c>
      <c r="D161" s="39" t="s">
        <v>132</v>
      </c>
      <c r="E161" s="39" t="s">
        <v>2385</v>
      </c>
      <c r="F161" s="25" t="str">
        <f>HYPERLINK("https://stat100.ameba.jp/tnk47/ratio20/illustrations/card/ill_91165_mizugimanejayukioni05.jpg", "■")</f>
        <v>■</v>
      </c>
      <c r="G161" s="39" t="s">
        <v>2386</v>
      </c>
      <c r="U161" s="23" t="s">
        <v>1429</v>
      </c>
      <c r="V161" s="23" t="s">
        <v>1429</v>
      </c>
      <c r="W161" s="39" t="s">
        <v>1093</v>
      </c>
      <c r="X161" s="39">
        <v>27</v>
      </c>
      <c r="Y161" s="39">
        <v>139208</v>
      </c>
      <c r="Z161" s="39">
        <v>100785</v>
      </c>
      <c r="AA161" s="39" t="s">
        <v>2387</v>
      </c>
      <c r="AB161" s="39" t="s">
        <v>2474</v>
      </c>
    </row>
    <row r="162" spans="1:28">
      <c r="A162" s="39" t="s">
        <v>2017</v>
      </c>
      <c r="B162" s="39">
        <v>91175</v>
      </c>
      <c r="C162" s="39" t="s">
        <v>1367</v>
      </c>
      <c r="D162" s="39" t="s">
        <v>63</v>
      </c>
      <c r="E162" s="39" t="s">
        <v>2388</v>
      </c>
      <c r="F162" s="25" t="str">
        <f>HYPERLINK("https://stat100.ameba.jp/tnk47/ratio20/illustrations/card/ill_91175_mieshatsu05.jpg", "■")</f>
        <v>■</v>
      </c>
      <c r="G162" s="39" t="s">
        <v>2389</v>
      </c>
      <c r="U162" s="23" t="s">
        <v>1429</v>
      </c>
      <c r="V162" s="23" t="s">
        <v>1429</v>
      </c>
      <c r="W162" s="39" t="s">
        <v>1093</v>
      </c>
      <c r="X162" s="39">
        <v>27</v>
      </c>
      <c r="Y162" s="39">
        <v>132583</v>
      </c>
      <c r="Z162" s="39">
        <v>95988</v>
      </c>
      <c r="AA162" s="39" t="s">
        <v>2390</v>
      </c>
      <c r="AB162" s="39" t="s">
        <v>2475</v>
      </c>
    </row>
    <row r="163" spans="1:28">
      <c r="A163" s="39" t="s">
        <v>2021</v>
      </c>
      <c r="B163" s="4">
        <v>91185</v>
      </c>
      <c r="C163" s="39" t="s">
        <v>1351</v>
      </c>
      <c r="D163" s="39" t="s">
        <v>101</v>
      </c>
      <c r="E163" s="39" t="s">
        <v>2391</v>
      </c>
      <c r="F163" s="25" t="str">
        <f>HYPERLINK("https://stat100.ameba.jp/tnk47/ratio20/illustrations/card/ill_91185_buaruneru05.jpg", "■")</f>
        <v>■</v>
      </c>
      <c r="G163" s="39" t="s">
        <v>2392</v>
      </c>
      <c r="U163" s="23" t="s">
        <v>1429</v>
      </c>
      <c r="V163" s="23" t="s">
        <v>1429</v>
      </c>
      <c r="W163" s="39" t="s">
        <v>1093</v>
      </c>
      <c r="X163" s="39">
        <v>27</v>
      </c>
      <c r="Y163" s="39">
        <v>139899</v>
      </c>
      <c r="Z163" s="39">
        <v>193214</v>
      </c>
      <c r="AA163" s="39" t="s">
        <v>2393</v>
      </c>
      <c r="AB163" s="39" t="s">
        <v>2476</v>
      </c>
    </row>
    <row r="164" spans="1:28">
      <c r="A164" s="43" t="s">
        <v>2025</v>
      </c>
      <c r="B164" s="4">
        <v>91795</v>
      </c>
      <c r="C164" s="43" t="s">
        <v>1367</v>
      </c>
      <c r="D164" s="4" t="s">
        <v>2483</v>
      </c>
      <c r="E164" s="4" t="s">
        <v>2481</v>
      </c>
      <c r="F164" s="25" t="str">
        <f>HYPERLINK("https://stat100.ameba.jp/tnk47/ratio20/illustrations/card/ill_91795_porisufugusashichan05.jpg", "■")</f>
        <v>■</v>
      </c>
      <c r="G164" s="4" t="s">
        <v>2482</v>
      </c>
      <c r="U164" s="23" t="s">
        <v>1429</v>
      </c>
      <c r="V164" s="23" t="s">
        <v>1429</v>
      </c>
      <c r="W164" s="43" t="s">
        <v>1093</v>
      </c>
      <c r="X164" s="43">
        <v>28</v>
      </c>
      <c r="Y164" s="4">
        <v>121038</v>
      </c>
      <c r="Z164" s="4">
        <v>167158</v>
      </c>
      <c r="AA164" s="4" t="s">
        <v>2484</v>
      </c>
      <c r="AB164" s="4" t="s">
        <v>2823</v>
      </c>
    </row>
    <row r="165" spans="1:28">
      <c r="A165" s="44" t="s">
        <v>2030</v>
      </c>
      <c r="B165" s="4">
        <v>91815</v>
      </c>
      <c r="C165" s="4" t="s">
        <v>1357</v>
      </c>
      <c r="D165" s="4" t="s">
        <v>2487</v>
      </c>
      <c r="E165" s="4" t="s">
        <v>2485</v>
      </c>
      <c r="F165" s="25" t="str">
        <f>HYPERLINK("https://stat100.ameba.jp/tnk47/ratio20/illustrations/card/ill_91815_mahogakkomisuheiro05.jpg", "■")</f>
        <v>■</v>
      </c>
      <c r="G165" s="4" t="s">
        <v>2486</v>
      </c>
      <c r="U165" s="23" t="s">
        <v>1429</v>
      </c>
      <c r="V165" s="23" t="s">
        <v>1429</v>
      </c>
      <c r="W165" s="44" t="s">
        <v>1093</v>
      </c>
      <c r="X165" s="4">
        <v>28</v>
      </c>
      <c r="Y165" s="4">
        <v>131636</v>
      </c>
      <c r="Z165" s="4">
        <v>95308</v>
      </c>
      <c r="AA165" s="4" t="s">
        <v>2488</v>
      </c>
      <c r="AB165" s="4" t="s">
        <v>2824</v>
      </c>
    </row>
    <row r="166" spans="1:28">
      <c r="A166" s="46" t="s">
        <v>2036</v>
      </c>
      <c r="B166" s="4">
        <v>91805</v>
      </c>
      <c r="C166" s="47" t="s">
        <v>1351</v>
      </c>
      <c r="D166" s="4" t="s">
        <v>2556</v>
      </c>
      <c r="E166" s="4" t="s">
        <v>2555</v>
      </c>
      <c r="F166" s="25" t="str">
        <f>HYPERLINK("https://stat100.ameba.jp/tnk47/ratio20/illustrations/card/ill_91805_gekkogakkutensendara05.jpg", "■")</f>
        <v>■</v>
      </c>
      <c r="G166" s="4" t="s">
        <v>2558</v>
      </c>
      <c r="U166" s="23" t="s">
        <v>2559</v>
      </c>
      <c r="V166" s="23" t="s">
        <v>1429</v>
      </c>
      <c r="W166" s="52" t="s">
        <v>1354</v>
      </c>
      <c r="X166" s="46">
        <v>28</v>
      </c>
      <c r="Y166" s="46">
        <v>95308</v>
      </c>
      <c r="Z166" s="46">
        <v>131636</v>
      </c>
      <c r="AA166" s="4" t="s">
        <v>2557</v>
      </c>
      <c r="AB166" s="4" t="s">
        <v>2825</v>
      </c>
    </row>
    <row r="167" spans="1:28">
      <c r="A167" s="52" t="s">
        <v>1869</v>
      </c>
      <c r="B167" s="52">
        <v>92495</v>
      </c>
      <c r="C167" s="52" t="s">
        <v>1351</v>
      </c>
      <c r="D167" s="52" t="s">
        <v>2623</v>
      </c>
      <c r="E167" s="15" t="s">
        <v>2621</v>
      </c>
      <c r="F167" s="25" t="str">
        <f>HYPERLINK("https://stat100.ameba.jp/tnk47/ratio20/illustrations/card/ill_92495_kaitokaranochosenjosukajammusume05.jpg", "■")</f>
        <v>■</v>
      </c>
      <c r="G167" s="52" t="s">
        <v>2622</v>
      </c>
      <c r="U167" s="23" t="s">
        <v>1429</v>
      </c>
      <c r="V167" s="23" t="s">
        <v>1429</v>
      </c>
      <c r="W167" s="52" t="s">
        <v>1093</v>
      </c>
      <c r="X167" s="52">
        <v>28</v>
      </c>
      <c r="Y167" s="52">
        <v>121038</v>
      </c>
      <c r="Z167" s="52">
        <v>167158</v>
      </c>
      <c r="AA167" s="52" t="s">
        <v>2620</v>
      </c>
      <c r="AB167" s="52" t="s">
        <v>2826</v>
      </c>
    </row>
    <row r="168" spans="1:28">
      <c r="A168" s="53" t="s">
        <v>2044</v>
      </c>
      <c r="B168" s="53">
        <v>92505</v>
      </c>
      <c r="C168" s="53" t="s">
        <v>1351</v>
      </c>
      <c r="D168" s="53" t="s">
        <v>196</v>
      </c>
      <c r="E168" s="15" t="s">
        <v>2624</v>
      </c>
      <c r="F168" s="25" t="str">
        <f>HYPERLINK("https://stat100.ameba.jp/tnk47/ratio20/illustrations/card/ill_92505_bampaiakuin05.jpg", "■")</f>
        <v>■</v>
      </c>
      <c r="G168" s="53" t="s">
        <v>2625</v>
      </c>
      <c r="U168" s="23" t="s">
        <v>1429</v>
      </c>
      <c r="V168" s="23" t="s">
        <v>1429</v>
      </c>
      <c r="W168" s="53" t="s">
        <v>1093</v>
      </c>
      <c r="X168" s="53">
        <v>28</v>
      </c>
      <c r="Y168" s="53">
        <v>200370</v>
      </c>
      <c r="Z168" s="53">
        <v>145082</v>
      </c>
      <c r="AA168" s="53" t="s">
        <v>2626</v>
      </c>
      <c r="AB168" s="53" t="s">
        <v>2471</v>
      </c>
    </row>
    <row r="169" spans="1:28">
      <c r="A169" s="55" t="s">
        <v>1879</v>
      </c>
      <c r="B169" s="55">
        <v>92515</v>
      </c>
      <c r="C169" s="55" t="s">
        <v>1357</v>
      </c>
      <c r="D169" s="55" t="s">
        <v>68</v>
      </c>
      <c r="E169" s="15" t="s">
        <v>2655</v>
      </c>
      <c r="F169" s="25" t="str">
        <f>HYPERLINK("https://stat100.ameba.jp/tnk47/ratio20/illustrations/card/ill_92515_burakkukuin05.jpg", "■")</f>
        <v>■</v>
      </c>
      <c r="G169" s="55" t="s">
        <v>2656</v>
      </c>
      <c r="U169" s="23" t="s">
        <v>1429</v>
      </c>
      <c r="V169" s="23" t="s">
        <v>1429</v>
      </c>
      <c r="W169" s="55" t="s">
        <v>1093</v>
      </c>
      <c r="X169" s="55">
        <v>28</v>
      </c>
      <c r="Y169" s="55">
        <v>131636</v>
      </c>
      <c r="Z169" s="55">
        <v>95308</v>
      </c>
      <c r="AA169" s="55" t="s">
        <v>2657</v>
      </c>
      <c r="AB169" s="55" t="s">
        <v>2827</v>
      </c>
    </row>
    <row r="170" spans="1:28">
      <c r="A170" s="61" t="s">
        <v>1534</v>
      </c>
      <c r="B170" s="61">
        <v>93735</v>
      </c>
      <c r="C170" s="61" t="s">
        <v>1357</v>
      </c>
      <c r="D170" s="61" t="s">
        <v>132</v>
      </c>
      <c r="E170" s="15" t="s">
        <v>2697</v>
      </c>
      <c r="F170" s="25" t="str">
        <f>HYPERLINK("https://stat100.ameba.jp/tnk47/ratio20/illustrations/card/ill_93735_bampaiahantahitokagehana05.jpg", "■")</f>
        <v>■</v>
      </c>
      <c r="G170" s="61" t="s">
        <v>2705</v>
      </c>
      <c r="U170" s="23" t="s">
        <v>1429</v>
      </c>
      <c r="V170" s="23" t="s">
        <v>1429</v>
      </c>
      <c r="W170" s="61" t="s">
        <v>1093</v>
      </c>
      <c r="X170" s="61">
        <v>28</v>
      </c>
      <c r="Y170" s="61">
        <v>138202</v>
      </c>
      <c r="Z170" s="61">
        <v>100052</v>
      </c>
      <c r="AA170" s="61" t="s">
        <v>2698</v>
      </c>
      <c r="AB170" s="61" t="s">
        <v>2828</v>
      </c>
    </row>
    <row r="171" spans="1:28">
      <c r="A171" s="61" t="s">
        <v>1887</v>
      </c>
      <c r="B171" s="61">
        <v>93885</v>
      </c>
      <c r="C171" s="61" t="s">
        <v>1357</v>
      </c>
      <c r="D171" s="61" t="s">
        <v>101</v>
      </c>
      <c r="E171" s="15" t="s">
        <v>2699</v>
      </c>
      <c r="F171" s="25" t="str">
        <f>HYPERLINK("https://stat100.ameba.jp/tnk47/ratio20/illustrations/card/ill_93885_hyakujukireo05.jpg", "■")</f>
        <v>■</v>
      </c>
      <c r="G171" s="61" t="s">
        <v>2704</v>
      </c>
      <c r="U171" s="23" t="s">
        <v>1429</v>
      </c>
      <c r="V171" s="23" t="s">
        <v>1429</v>
      </c>
      <c r="W171" s="61" t="s">
        <v>1093</v>
      </c>
      <c r="X171" s="61">
        <v>28</v>
      </c>
      <c r="Y171" s="61">
        <v>145082</v>
      </c>
      <c r="Z171" s="61">
        <v>200370</v>
      </c>
      <c r="AA171" s="61" t="s">
        <v>2700</v>
      </c>
      <c r="AB171" s="61" t="s">
        <v>2476</v>
      </c>
    </row>
    <row r="172" spans="1:28">
      <c r="A172" s="61" t="s">
        <v>1893</v>
      </c>
      <c r="B172" s="61">
        <v>93955</v>
      </c>
      <c r="C172" s="61" t="s">
        <v>1351</v>
      </c>
      <c r="D172" s="61" t="s">
        <v>63</v>
      </c>
      <c r="E172" s="61" t="s">
        <v>2701</v>
      </c>
      <c r="F172" s="25" t="str">
        <f>HYPERLINK("https://stat100.ameba.jp/tnk47/ratio20/illustrations/card/ill_93955_akinoshishakashia05.jpg", "■")</f>
        <v>■</v>
      </c>
      <c r="G172" s="61" t="s">
        <v>2703</v>
      </c>
      <c r="U172" s="23" t="s">
        <v>2706</v>
      </c>
      <c r="V172" s="23" t="s">
        <v>1429</v>
      </c>
      <c r="W172" s="61" t="s">
        <v>1093</v>
      </c>
      <c r="X172" s="61">
        <v>28</v>
      </c>
      <c r="Y172" s="61">
        <v>131636</v>
      </c>
      <c r="Z172" s="61">
        <v>95308</v>
      </c>
      <c r="AA172" s="61" t="s">
        <v>2702</v>
      </c>
      <c r="AB172" s="61" t="s">
        <v>2824</v>
      </c>
    </row>
    <row r="173" spans="1:28">
      <c r="A173" s="61" t="s">
        <v>1545</v>
      </c>
      <c r="B173" s="4">
        <v>94385</v>
      </c>
      <c r="C173" s="61" t="s">
        <v>1357</v>
      </c>
      <c r="D173" s="4" t="s">
        <v>2693</v>
      </c>
      <c r="E173" s="4" t="s">
        <v>2692</v>
      </c>
      <c r="F173" s="25" t="str">
        <f>HYPERLINK("https://stat100.ameba.jp/tnk47/ratio20/illustrations/card/ill_94385_santabutaimurakamisuigun05.jpg", "■")</f>
        <v>■</v>
      </c>
      <c r="G173" s="4" t="s">
        <v>2695</v>
      </c>
      <c r="U173" s="4" t="s">
        <v>2696</v>
      </c>
      <c r="V173" s="23" t="s">
        <v>1429</v>
      </c>
      <c r="W173" s="61" t="s">
        <v>1354</v>
      </c>
      <c r="X173" s="61">
        <v>28</v>
      </c>
      <c r="Y173" s="4">
        <v>167158</v>
      </c>
      <c r="Z173" s="4">
        <v>121038</v>
      </c>
      <c r="AA173" s="4" t="s">
        <v>2694</v>
      </c>
      <c r="AB173" s="4" t="s">
        <v>2829</v>
      </c>
    </row>
    <row r="174" spans="1:28">
      <c r="A174" s="61" t="s">
        <v>1903</v>
      </c>
      <c r="B174" s="74">
        <v>94395</v>
      </c>
      <c r="C174" s="74" t="s">
        <v>1351</v>
      </c>
      <c r="D174" s="74" t="s">
        <v>79</v>
      </c>
      <c r="E174" s="28" t="s">
        <v>2765</v>
      </c>
      <c r="F174" s="25" t="str">
        <f>HYPERLINK("https://stat100.ameba.jp/tnk47/ratio20/illustrations/card/ill_94395_kikaimegamiengotto05.jpg", "■")</f>
        <v>■</v>
      </c>
      <c r="G174" s="74" t="s">
        <v>2764</v>
      </c>
      <c r="U174" s="23" t="s">
        <v>1429</v>
      </c>
      <c r="V174" s="23" t="s">
        <v>1429</v>
      </c>
      <c r="W174" s="61" t="s">
        <v>1093</v>
      </c>
      <c r="X174" s="61">
        <v>28</v>
      </c>
      <c r="Y174" s="74">
        <v>95308</v>
      </c>
      <c r="Z174" s="74">
        <v>131636</v>
      </c>
      <c r="AA174" s="74" t="s">
        <v>2763</v>
      </c>
      <c r="AB174" s="74" t="s">
        <v>2830</v>
      </c>
    </row>
    <row r="175" spans="1:28">
      <c r="A175" s="61" t="s">
        <v>1909</v>
      </c>
      <c r="B175" s="74">
        <v>94405</v>
      </c>
      <c r="C175" s="74" t="s">
        <v>1357</v>
      </c>
      <c r="D175" s="74" t="s">
        <v>84</v>
      </c>
      <c r="E175" s="74" t="s">
        <v>2766</v>
      </c>
      <c r="F175" s="25" t="str">
        <f>HYPERLINK("https://stat100.ameba.jp/tnk47/ratio20/illustrations/card/ill_94405_fuyunotozurefuanukka05.jpg", "■")</f>
        <v>■</v>
      </c>
      <c r="G175" s="74" t="s">
        <v>2767</v>
      </c>
      <c r="U175" s="23" t="s">
        <v>1429</v>
      </c>
      <c r="V175" s="23" t="s">
        <v>1429</v>
      </c>
      <c r="W175" s="61" t="s">
        <v>1093</v>
      </c>
      <c r="X175" s="61">
        <v>28</v>
      </c>
      <c r="Y175" s="74">
        <v>154182</v>
      </c>
      <c r="Z175" s="74">
        <v>111630</v>
      </c>
      <c r="AA175" s="74" t="s">
        <v>2768</v>
      </c>
      <c r="AB175" s="74" t="s">
        <v>3136</v>
      </c>
    </row>
    <row r="177" spans="1:28">
      <c r="A177" s="61" t="s">
        <v>2691</v>
      </c>
    </row>
    <row r="178" spans="1:28">
      <c r="A178" s="61" t="s">
        <v>1914</v>
      </c>
      <c r="B178" s="62">
        <v>95105</v>
      </c>
      <c r="C178" s="62" t="s">
        <v>1351</v>
      </c>
      <c r="D178" s="62" t="s">
        <v>63</v>
      </c>
      <c r="E178" s="15" t="s">
        <v>2708</v>
      </c>
      <c r="F178" s="25" t="str">
        <f>HYPERLINK("https://stat100.ameba.jp/tnk47/ratio20/illustrations/card/ill_95105_daikichimurakumogo05.jpg", "■")</f>
        <v>■</v>
      </c>
      <c r="G178" s="62" t="s">
        <v>2709</v>
      </c>
      <c r="U178" s="23" t="s">
        <v>1429</v>
      </c>
      <c r="V178" s="23" t="s">
        <v>1429</v>
      </c>
      <c r="W178" s="61" t="s">
        <v>1093</v>
      </c>
      <c r="X178" s="61">
        <v>28</v>
      </c>
      <c r="Y178" s="62">
        <v>104518</v>
      </c>
      <c r="Z178" s="62">
        <v>144364</v>
      </c>
      <c r="AA178" s="62" t="s">
        <v>2707</v>
      </c>
      <c r="AB178" s="62" t="s">
        <v>2831</v>
      </c>
    </row>
    <row r="179" spans="1:28">
      <c r="A179" s="63" t="s">
        <v>1920</v>
      </c>
      <c r="B179" s="63">
        <v>95115</v>
      </c>
      <c r="C179" s="63" t="s">
        <v>1357</v>
      </c>
      <c r="D179" s="63" t="s">
        <v>2713</v>
      </c>
      <c r="E179" s="15" t="s">
        <v>2711</v>
      </c>
      <c r="F179" s="25" t="str">
        <f>HYPERLINK("https://stat100.ameba.jp/tnk47/ratio20/illustrations/card/ill_95115_komainuchan05.jpg", "■")</f>
        <v>■</v>
      </c>
      <c r="G179" s="63" t="s">
        <v>2712</v>
      </c>
      <c r="U179" s="23" t="s">
        <v>1429</v>
      </c>
      <c r="V179" s="23" t="s">
        <v>1429</v>
      </c>
      <c r="W179" s="63" t="s">
        <v>1093</v>
      </c>
      <c r="X179" s="63">
        <v>28</v>
      </c>
      <c r="Y179" s="63">
        <v>115284</v>
      </c>
      <c r="Z179" s="63">
        <v>159200</v>
      </c>
      <c r="AA179" s="63" t="s">
        <v>2710</v>
      </c>
      <c r="AB179" s="63" t="s">
        <v>2826</v>
      </c>
    </row>
    <row r="180" spans="1:28">
      <c r="A180" s="68" t="s">
        <v>1925</v>
      </c>
      <c r="B180" s="71">
        <v>95125</v>
      </c>
      <c r="C180" s="71" t="s">
        <v>1351</v>
      </c>
      <c r="D180" s="71" t="s">
        <v>107</v>
      </c>
      <c r="E180" s="71" t="s">
        <v>2758</v>
      </c>
      <c r="F180" s="25" t="str">
        <f>HYPERLINK("https://stat100.ameba.jp/tnk47/ratio20/illustrations/card/ill_95125_kanzashikurikintonchan05.jpg", "■")</f>
        <v>■</v>
      </c>
      <c r="G180" s="71" t="s">
        <v>2759</v>
      </c>
      <c r="U180" s="23" t="s">
        <v>2761</v>
      </c>
      <c r="V180" s="23" t="s">
        <v>1429</v>
      </c>
      <c r="W180" s="71" t="s">
        <v>1354</v>
      </c>
      <c r="X180" s="68">
        <v>28</v>
      </c>
      <c r="Y180" s="72">
        <v>115284</v>
      </c>
      <c r="Z180" s="72">
        <v>159200</v>
      </c>
      <c r="AA180" s="71" t="s">
        <v>2760</v>
      </c>
      <c r="AB180" s="71" t="s">
        <v>2832</v>
      </c>
    </row>
    <row r="181" spans="1:28">
      <c r="A181" s="68" t="s">
        <v>1566</v>
      </c>
      <c r="B181" s="4">
        <v>95705</v>
      </c>
      <c r="C181" s="68" t="s">
        <v>1357</v>
      </c>
      <c r="D181" s="4" t="s">
        <v>2751</v>
      </c>
      <c r="E181" s="4" t="s">
        <v>2750</v>
      </c>
      <c r="F181" s="25" t="str">
        <f>HYPERLINK("https://stat100.ameba.jp/tnk47/ratio20/illustrations/card/ill_95705_barentaindesakamototome05.jpg", "■")</f>
        <v>■</v>
      </c>
      <c r="G181" s="4" t="s">
        <v>2749</v>
      </c>
      <c r="U181" s="23" t="s">
        <v>2748</v>
      </c>
      <c r="V181" s="23" t="s">
        <v>1429</v>
      </c>
      <c r="W181" s="68" t="s">
        <v>1354</v>
      </c>
      <c r="X181" s="68">
        <v>28</v>
      </c>
      <c r="Y181" s="4">
        <v>152322</v>
      </c>
      <c r="Z181" s="4">
        <v>210358</v>
      </c>
      <c r="AA181" s="4" t="s">
        <v>2747</v>
      </c>
      <c r="AB181" s="4" t="s">
        <v>2833</v>
      </c>
    </row>
    <row r="182" spans="1:28">
      <c r="A182" s="69" t="s">
        <v>1933</v>
      </c>
      <c r="B182" s="69">
        <v>95865</v>
      </c>
      <c r="C182" s="69" t="s">
        <v>1351</v>
      </c>
      <c r="D182" s="69" t="s">
        <v>132</v>
      </c>
      <c r="E182" s="69" t="s">
        <v>2752</v>
      </c>
      <c r="F182" s="25" t="str">
        <f>HYPERLINK("https://stat100.ameba.jp/tnk47/ratio20/illustrations/card/ill_95865_mahonokuniarisu05.jpg", "■")</f>
        <v>■</v>
      </c>
      <c r="G182" s="69" t="s">
        <v>2754</v>
      </c>
      <c r="U182" s="23" t="s">
        <v>2761</v>
      </c>
      <c r="V182" s="23" t="s">
        <v>1429</v>
      </c>
      <c r="W182" s="69" t="s">
        <v>1354</v>
      </c>
      <c r="X182" s="69">
        <v>28</v>
      </c>
      <c r="Y182" s="69">
        <v>99544</v>
      </c>
      <c r="Z182" s="69">
        <v>137492</v>
      </c>
      <c r="AA182" s="69" t="s">
        <v>2753</v>
      </c>
      <c r="AB182" s="69" t="s">
        <v>3137</v>
      </c>
    </row>
    <row r="183" spans="1:28">
      <c r="A183" s="71" t="s">
        <v>1938</v>
      </c>
      <c r="B183" s="4">
        <v>95935</v>
      </c>
      <c r="C183" s="71" t="s">
        <v>1357</v>
      </c>
      <c r="D183" s="71" t="s">
        <v>196</v>
      </c>
      <c r="E183" s="71" t="s">
        <v>2755</v>
      </c>
      <c r="F183" s="25" t="str">
        <f>HYPERLINK("https://stat100.ameba.jp/tnk47/ratio20/illustrations/card/ill_95935_shadomasuta05.jpg", "■")</f>
        <v>■</v>
      </c>
      <c r="G183" s="71" t="s">
        <v>2756</v>
      </c>
      <c r="U183" s="23" t="s">
        <v>2762</v>
      </c>
      <c r="V183" s="23" t="s">
        <v>1429</v>
      </c>
      <c r="W183" s="72" t="s">
        <v>1354</v>
      </c>
      <c r="X183" s="71">
        <v>28</v>
      </c>
      <c r="Y183" s="71">
        <v>200370</v>
      </c>
      <c r="Z183" s="71">
        <v>145082</v>
      </c>
      <c r="AA183" s="71" t="s">
        <v>2757</v>
      </c>
      <c r="AB183" s="71" t="s">
        <v>2834</v>
      </c>
    </row>
    <row r="184" spans="1:28">
      <c r="A184" s="77" t="s">
        <v>1581</v>
      </c>
      <c r="B184" s="4">
        <v>96465</v>
      </c>
      <c r="C184" s="77" t="s">
        <v>1351</v>
      </c>
      <c r="D184" s="77" t="s">
        <v>101</v>
      </c>
      <c r="E184" s="4" t="s">
        <v>2790</v>
      </c>
      <c r="F184" s="25" t="str">
        <f>HYPERLINK("https://stat100.ameba.jp/tnk47/ratio20/illustrations/card/ill_96465_ohinasamamaedakeiji05.jpg", "■")</f>
        <v>■</v>
      </c>
      <c r="G184" s="4" t="s">
        <v>2789</v>
      </c>
      <c r="U184" s="23" t="s">
        <v>2791</v>
      </c>
      <c r="V184" s="23" t="s">
        <v>1429</v>
      </c>
      <c r="W184" s="78" t="s">
        <v>1354</v>
      </c>
      <c r="X184" s="77">
        <v>29</v>
      </c>
      <c r="Y184" s="4">
        <v>217871</v>
      </c>
      <c r="Z184" s="4">
        <v>157763</v>
      </c>
      <c r="AA184" s="4" t="s">
        <v>2788</v>
      </c>
      <c r="AB184" s="4" t="s">
        <v>2465</v>
      </c>
    </row>
    <row r="185" spans="1:28">
      <c r="A185" s="79" t="s">
        <v>2099</v>
      </c>
      <c r="B185" s="4">
        <v>96475</v>
      </c>
      <c r="C185" s="79" t="s">
        <v>1357</v>
      </c>
      <c r="D185" s="23" t="s">
        <v>570</v>
      </c>
      <c r="E185" s="23" t="s">
        <v>2796</v>
      </c>
      <c r="F185" s="25" t="str">
        <f>HYPERLINK("https://stat100.ameba.jp/tnk47/ratio20/illustrations/card/ill_96475_saishokoshika05.jpg", "■")</f>
        <v>■</v>
      </c>
      <c r="G185" s="4" t="s">
        <v>2798</v>
      </c>
      <c r="U185" s="4" t="s">
        <v>2795</v>
      </c>
      <c r="V185" s="23" t="s">
        <v>1429</v>
      </c>
      <c r="W185" s="79" t="s">
        <v>1354</v>
      </c>
      <c r="X185" s="79">
        <v>29</v>
      </c>
      <c r="Y185" s="4">
        <v>102501</v>
      </c>
      <c r="Z185" s="4">
        <v>141567</v>
      </c>
      <c r="AA185" s="4" t="s">
        <v>2797</v>
      </c>
      <c r="AB185" s="4" t="s">
        <v>2835</v>
      </c>
    </row>
    <row r="186" spans="1:28">
      <c r="A186" s="79" t="s">
        <v>1950</v>
      </c>
      <c r="B186" s="79">
        <v>96485</v>
      </c>
      <c r="C186" s="79" t="s">
        <v>1351</v>
      </c>
      <c r="D186" s="79" t="s">
        <v>84</v>
      </c>
      <c r="E186" s="15" t="s">
        <v>2792</v>
      </c>
      <c r="F186" s="25" t="str">
        <f>HYPERLINK("https://stat100.ameba.jp/tnk47/ratio20/illustrations/card/ill_96485_matagichan05.jpg", "■")</f>
        <v>■</v>
      </c>
      <c r="G186" s="79" t="s">
        <v>2793</v>
      </c>
      <c r="U186" s="23" t="s">
        <v>2799</v>
      </c>
      <c r="V186" s="23" t="s">
        <v>1429</v>
      </c>
      <c r="W186" s="80" t="s">
        <v>1354</v>
      </c>
      <c r="X186" s="79">
        <v>29</v>
      </c>
      <c r="Y186" s="79">
        <v>119401</v>
      </c>
      <c r="Z186" s="79">
        <v>164886</v>
      </c>
      <c r="AA186" s="79" t="s">
        <v>2794</v>
      </c>
      <c r="AB186" s="79" t="s">
        <v>2836</v>
      </c>
    </row>
    <row r="187" spans="1:28">
      <c r="A187" s="91" t="s">
        <v>1955</v>
      </c>
      <c r="B187" s="4">
        <v>97065</v>
      </c>
      <c r="C187" s="92" t="s">
        <v>1357</v>
      </c>
      <c r="D187" s="92" t="s">
        <v>107</v>
      </c>
      <c r="E187" s="15" t="s">
        <v>2883</v>
      </c>
      <c r="F187" s="25" t="str">
        <f>HYPERLINK("https://stat100.ameba.jp/tnk47/ratio20/illustrations/card/ill_97065_kanokaimitarashidangochan05.jpg", "■")</f>
        <v>■</v>
      </c>
      <c r="G187" s="92" t="s">
        <v>2884</v>
      </c>
      <c r="U187" s="23" t="s">
        <v>1429</v>
      </c>
      <c r="V187" s="23" t="s">
        <v>1429</v>
      </c>
      <c r="W187" s="92" t="s">
        <v>1093</v>
      </c>
      <c r="X187" s="92">
        <v>29</v>
      </c>
      <c r="Y187" s="92">
        <v>173127</v>
      </c>
      <c r="Z187" s="92">
        <v>125359</v>
      </c>
      <c r="AA187" s="92" t="s">
        <v>2882</v>
      </c>
      <c r="AB187" s="92" t="s">
        <v>3138</v>
      </c>
    </row>
    <row r="188" spans="1:28">
      <c r="A188" s="91" t="s">
        <v>2260</v>
      </c>
      <c r="B188" s="4">
        <v>97225</v>
      </c>
      <c r="C188" s="94" t="s">
        <v>1351</v>
      </c>
      <c r="D188" s="94" t="s">
        <v>68</v>
      </c>
      <c r="E188" s="15" t="s">
        <v>2892</v>
      </c>
      <c r="F188" s="25" t="str">
        <f>HYPERLINK("https://stat100.ameba.jp/tnk47/ratio20/illustrations/card/ill_97225_kokuinotenshijuteisu05.jpg", "■")</f>
        <v>■</v>
      </c>
      <c r="G188" s="94" t="s">
        <v>2893</v>
      </c>
      <c r="U188" s="23" t="s">
        <v>1429</v>
      </c>
      <c r="V188" s="23" t="s">
        <v>1429</v>
      </c>
      <c r="W188" s="91" t="s">
        <v>1093</v>
      </c>
      <c r="X188" s="91">
        <v>29</v>
      </c>
      <c r="Y188" s="94">
        <v>136338</v>
      </c>
      <c r="Z188" s="94">
        <v>98713</v>
      </c>
      <c r="AA188" s="94" t="s">
        <v>2891</v>
      </c>
      <c r="AB188" s="94" t="s">
        <v>2468</v>
      </c>
    </row>
    <row r="189" spans="1:28">
      <c r="A189" s="91" t="s">
        <v>1963</v>
      </c>
      <c r="B189" s="105">
        <v>97295</v>
      </c>
      <c r="C189" s="105" t="s">
        <v>1357</v>
      </c>
      <c r="D189" s="105" t="s">
        <v>63</v>
      </c>
      <c r="E189" s="15" t="s">
        <v>2917</v>
      </c>
      <c r="F189" s="25" t="str">
        <f>HYPERLINK("https://stat100.ameba.jp/tnk47/ratio20/illustrations/card/ill_97295_bishamontenchan05.jpg", "■")</f>
        <v>■</v>
      </c>
      <c r="G189" s="105" t="s">
        <v>2918</v>
      </c>
      <c r="U189" s="23" t="s">
        <v>2919</v>
      </c>
      <c r="V189" s="23" t="s">
        <v>1429</v>
      </c>
      <c r="W189" s="105" t="s">
        <v>1354</v>
      </c>
      <c r="X189" s="91">
        <v>29</v>
      </c>
      <c r="Y189" s="105">
        <v>98713</v>
      </c>
      <c r="Z189" s="105">
        <v>136338</v>
      </c>
      <c r="AA189" s="105" t="s">
        <v>2920</v>
      </c>
      <c r="AB189" s="105" t="s">
        <v>3139</v>
      </c>
    </row>
    <row r="190" spans="1:28">
      <c r="A190" s="91" t="s">
        <v>1967</v>
      </c>
      <c r="B190" s="4">
        <v>97755</v>
      </c>
      <c r="C190" s="92" t="s">
        <v>1351</v>
      </c>
      <c r="D190" s="92" t="s">
        <v>196</v>
      </c>
      <c r="E190" s="15" t="s">
        <v>2876</v>
      </c>
      <c r="F190" s="25" t="str">
        <f>HYPERLINK("https://stat100.ameba.jp/tnk47/ratio20/illustrations/card/ill_97755_purisutohachinotaro05.jpg", "■")</f>
        <v>■</v>
      </c>
      <c r="G190" s="92" t="s">
        <v>2877</v>
      </c>
      <c r="U190" s="23" t="s">
        <v>2878</v>
      </c>
      <c r="V190" s="23" t="s">
        <v>1429</v>
      </c>
      <c r="W190" s="92" t="s">
        <v>1354</v>
      </c>
      <c r="X190" s="91">
        <v>29</v>
      </c>
      <c r="Y190" s="92">
        <v>125359</v>
      </c>
      <c r="Z190" s="92">
        <v>173127</v>
      </c>
      <c r="AA190" s="92" t="s">
        <v>2875</v>
      </c>
      <c r="AB190" s="92" t="s">
        <v>3140</v>
      </c>
    </row>
    <row r="191" spans="1:28">
      <c r="A191" s="91" t="s">
        <v>2305</v>
      </c>
      <c r="B191" s="4">
        <v>97915</v>
      </c>
      <c r="C191" s="110" t="s">
        <v>1357</v>
      </c>
      <c r="D191" s="4" t="s">
        <v>132</v>
      </c>
      <c r="E191" s="4" t="s">
        <v>2956</v>
      </c>
      <c r="F191" s="25" t="str">
        <f>HYPERLINK("https://stat100.ameba.jp/tnk47/ratio20/illustrations/card/ill_97915_torappuboma05.jpg", "■")</f>
        <v>■</v>
      </c>
      <c r="G191" s="4" t="s">
        <v>2958</v>
      </c>
      <c r="S191" s="117"/>
      <c r="U191" s="23" t="s">
        <v>3105</v>
      </c>
      <c r="V191" s="23" t="s">
        <v>1429</v>
      </c>
      <c r="W191" s="110" t="s">
        <v>1354</v>
      </c>
      <c r="X191" s="91">
        <v>29</v>
      </c>
      <c r="Y191" s="4">
        <v>159690</v>
      </c>
      <c r="Z191" s="4">
        <v>115617</v>
      </c>
      <c r="AA191" s="4" t="s">
        <v>2957</v>
      </c>
      <c r="AB191" s="4" t="s">
        <v>3141</v>
      </c>
    </row>
    <row r="192" spans="1:28">
      <c r="A192" s="91" t="s">
        <v>1975</v>
      </c>
      <c r="B192" s="4">
        <v>97985</v>
      </c>
      <c r="C192" s="110" t="s">
        <v>1351</v>
      </c>
      <c r="D192" s="4" t="s">
        <v>63</v>
      </c>
      <c r="E192" s="4" t="s">
        <v>2973</v>
      </c>
      <c r="F192" s="25" t="str">
        <f>HYPERLINK("https://stat100.ameba.jp/tnk47/ratio20/illustrations/card/ill_97985_beruzebubu05.jpg", "■")</f>
        <v>■</v>
      </c>
      <c r="G192" s="4" t="s">
        <v>2972</v>
      </c>
      <c r="U192" s="23" t="s">
        <v>2988</v>
      </c>
      <c r="V192" s="23" t="s">
        <v>1429</v>
      </c>
      <c r="W192" s="110" t="s">
        <v>1354</v>
      </c>
      <c r="X192" s="91">
        <v>29</v>
      </c>
      <c r="Y192" s="4">
        <v>150263</v>
      </c>
      <c r="Z192" s="4">
        <v>207526</v>
      </c>
      <c r="AA192" s="4" t="s">
        <v>2971</v>
      </c>
      <c r="AB192" s="4" t="s">
        <v>3142</v>
      </c>
    </row>
    <row r="193" spans="1:28">
      <c r="A193" s="91" t="s">
        <v>1980</v>
      </c>
      <c r="B193" s="92">
        <v>98445</v>
      </c>
      <c r="C193" s="92" t="s">
        <v>1351</v>
      </c>
      <c r="D193" s="92" t="s">
        <v>89</v>
      </c>
      <c r="E193" s="15" t="s">
        <v>2880</v>
      </c>
      <c r="F193" s="25" t="str">
        <f>HYPERLINK("https://stat100.ameba.jp/tnk47/ratio20/illustrations/card/ill_98445_yuenchisutaffuakazomemon05.jpg", "■")</f>
        <v>■</v>
      </c>
      <c r="G193" s="92" t="s">
        <v>2881</v>
      </c>
      <c r="U193" s="23" t="s">
        <v>2916</v>
      </c>
      <c r="V193" s="23" t="s">
        <v>1429</v>
      </c>
      <c r="W193" s="92" t="s">
        <v>1354</v>
      </c>
      <c r="X193" s="91">
        <v>29</v>
      </c>
      <c r="Y193" s="92">
        <v>217871</v>
      </c>
      <c r="Z193" s="92">
        <v>157763</v>
      </c>
      <c r="AA193" s="92" t="s">
        <v>2879</v>
      </c>
      <c r="AB193" s="92" t="s">
        <v>2473</v>
      </c>
    </row>
    <row r="194" spans="1:28">
      <c r="A194" s="91" t="s">
        <v>2369</v>
      </c>
      <c r="B194" s="4">
        <v>98605</v>
      </c>
      <c r="C194" s="110" t="s">
        <v>1357</v>
      </c>
      <c r="D194" s="4" t="s">
        <v>101</v>
      </c>
      <c r="E194" s="4" t="s">
        <v>2961</v>
      </c>
      <c r="F194" s="25" t="str">
        <f>HYPERLINK("https://stat100.ameba.jp/tnk47/ratio20/illustrations/card/ill_98605_epurashune05.jpg", "■")</f>
        <v>■</v>
      </c>
      <c r="G194" s="4" t="s">
        <v>2960</v>
      </c>
      <c r="T194" s="130"/>
      <c r="U194" s="23" t="s">
        <v>3106</v>
      </c>
      <c r="V194" s="23" t="s">
        <v>1429</v>
      </c>
      <c r="W194" s="110" t="s">
        <v>1354</v>
      </c>
      <c r="X194" s="91">
        <v>29</v>
      </c>
      <c r="Y194" s="4">
        <v>142403</v>
      </c>
      <c r="Z194" s="4">
        <v>103100</v>
      </c>
      <c r="AA194" s="4" t="s">
        <v>2959</v>
      </c>
      <c r="AB194" s="4" t="s">
        <v>3143</v>
      </c>
    </row>
    <row r="195" spans="1:28">
      <c r="A195" s="91" t="s">
        <v>1991</v>
      </c>
      <c r="B195" s="4">
        <v>98675</v>
      </c>
      <c r="C195" s="110" t="s">
        <v>1351</v>
      </c>
      <c r="D195" s="4" t="s">
        <v>107</v>
      </c>
      <c r="E195" s="4" t="s">
        <v>2976</v>
      </c>
      <c r="F195" s="25" t="str">
        <f>HYPERLINK("https://stat100.ameba.jp/tnk47/ratio20/illustrations/card/ill_98675_fuanfueaderi05.jpg", "■")</f>
        <v>■</v>
      </c>
      <c r="G195" s="4" t="s">
        <v>2975</v>
      </c>
      <c r="T195" s="130"/>
      <c r="U195" s="23" t="s">
        <v>2989</v>
      </c>
      <c r="V195" s="23" t="s">
        <v>1429</v>
      </c>
      <c r="W195" s="110" t="s">
        <v>1354</v>
      </c>
      <c r="X195" s="91">
        <v>29</v>
      </c>
      <c r="Y195" s="4">
        <v>164886</v>
      </c>
      <c r="Z195" s="4">
        <v>119401</v>
      </c>
      <c r="AA195" s="4" t="s">
        <v>2974</v>
      </c>
      <c r="AB195" s="4" t="s">
        <v>3138</v>
      </c>
    </row>
    <row r="196" spans="1:28">
      <c r="A196" s="91" t="s">
        <v>1997</v>
      </c>
      <c r="B196" s="91">
        <v>99085</v>
      </c>
      <c r="C196" s="91" t="s">
        <v>1357</v>
      </c>
      <c r="D196" s="91" t="s">
        <v>196</v>
      </c>
      <c r="E196" s="15" t="s">
        <v>2871</v>
      </c>
      <c r="F196" s="25" t="str">
        <f>HYPERLINK("https://stat100.ameba.jp/tnk47/ratio20/illustrations/card/ill_99085_uminokyujotaiinembi05.jpg", "■")</f>
        <v>■</v>
      </c>
      <c r="G196" s="91" t="s">
        <v>2872</v>
      </c>
      <c r="T196" s="130"/>
      <c r="U196" s="23" t="s">
        <v>2874</v>
      </c>
      <c r="V196" s="23" t="s">
        <v>1429</v>
      </c>
      <c r="W196" s="91" t="s">
        <v>1354</v>
      </c>
      <c r="X196" s="91">
        <v>29</v>
      </c>
      <c r="Y196" s="91">
        <v>125359</v>
      </c>
      <c r="Z196" s="91">
        <v>173127</v>
      </c>
      <c r="AA196" s="91" t="s">
        <v>2873</v>
      </c>
      <c r="AB196" s="91" t="s">
        <v>3140</v>
      </c>
    </row>
    <row r="197" spans="1:28">
      <c r="A197" s="91" t="s">
        <v>2370</v>
      </c>
      <c r="B197" s="4">
        <v>99245</v>
      </c>
      <c r="C197" s="110" t="s">
        <v>1351</v>
      </c>
      <c r="D197" s="4" t="s">
        <v>79</v>
      </c>
      <c r="E197" s="4" t="s">
        <v>2964</v>
      </c>
      <c r="F197" s="25" t="str">
        <f>HYPERLINK("https://stat100.ameba.jp/tnk47/ratio20/illustrations/card/ill_99245_senjutsuoneirosu05.jpg", "■")</f>
        <v>■</v>
      </c>
      <c r="G197" s="4" t="s">
        <v>2963</v>
      </c>
      <c r="T197" s="130"/>
      <c r="U197" s="23" t="s">
        <v>2990</v>
      </c>
      <c r="V197" s="23" t="s">
        <v>1429</v>
      </c>
      <c r="W197" s="110" t="s">
        <v>1354</v>
      </c>
      <c r="X197" s="91">
        <v>29</v>
      </c>
      <c r="Y197" s="4">
        <v>207526</v>
      </c>
      <c r="Z197" s="4">
        <v>150263</v>
      </c>
      <c r="AA197" s="4" t="s">
        <v>2962</v>
      </c>
      <c r="AB197" s="4" t="s">
        <v>3144</v>
      </c>
    </row>
    <row r="198" spans="1:28">
      <c r="A198" s="91" t="s">
        <v>2007</v>
      </c>
      <c r="B198" s="4">
        <v>99315</v>
      </c>
      <c r="C198" s="110" t="s">
        <v>1357</v>
      </c>
      <c r="D198" s="4" t="s">
        <v>89</v>
      </c>
      <c r="E198" s="4" t="s">
        <v>2977</v>
      </c>
      <c r="F198" s="25" t="str">
        <f>HYPERLINK("https://stat100.ameba.jp/tnk47/ratio20/illustrations/card/ill_99315_shihaininoribia05.jpg", "■")</f>
        <v>■</v>
      </c>
      <c r="G198" s="4" t="s">
        <v>2978</v>
      </c>
      <c r="T198" s="130"/>
      <c r="U198" s="23" t="s">
        <v>2991</v>
      </c>
      <c r="V198" s="23" t="s">
        <v>1429</v>
      </c>
      <c r="W198" s="110" t="s">
        <v>1354</v>
      </c>
      <c r="X198" s="91">
        <v>29</v>
      </c>
      <c r="Y198" s="4">
        <v>150263</v>
      </c>
      <c r="Z198" s="4">
        <v>207526</v>
      </c>
      <c r="AA198" s="4" t="s">
        <v>2655</v>
      </c>
      <c r="AB198" s="4" t="s">
        <v>2833</v>
      </c>
    </row>
    <row r="199" spans="1:28">
      <c r="A199" s="93" t="s">
        <v>2012</v>
      </c>
      <c r="B199" s="93">
        <v>99775</v>
      </c>
      <c r="C199" s="93" t="s">
        <v>1351</v>
      </c>
      <c r="D199" s="93" t="s">
        <v>132</v>
      </c>
      <c r="E199" s="15" t="s">
        <v>2885</v>
      </c>
      <c r="F199" s="25" t="str">
        <f>HYPERLINK("https://stat100.ameba.jp/tnk47/ratio20/illustrations/card/ill_99775_saishumidori05.jpg", "■")</f>
        <v>■</v>
      </c>
      <c r="G199" s="93" t="s">
        <v>2888</v>
      </c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130"/>
      <c r="U199" s="23" t="s">
        <v>3173</v>
      </c>
      <c r="V199" s="23" t="s">
        <v>1429</v>
      </c>
      <c r="W199" s="93" t="s">
        <v>1354</v>
      </c>
      <c r="X199" s="93">
        <v>30</v>
      </c>
      <c r="Y199" s="93">
        <v>173432</v>
      </c>
      <c r="Z199" s="93">
        <v>125554</v>
      </c>
      <c r="AA199" s="93" t="s">
        <v>2886</v>
      </c>
      <c r="AB199" s="93" t="s">
        <v>2887</v>
      </c>
    </row>
    <row r="200" spans="1:28" s="109" customFormat="1">
      <c r="A200" s="109" t="s">
        <v>2017</v>
      </c>
      <c r="B200" s="109">
        <v>99935</v>
      </c>
      <c r="C200" s="110" t="s">
        <v>1357</v>
      </c>
      <c r="D200" s="109" t="s">
        <v>68</v>
      </c>
      <c r="E200" s="109" t="s">
        <v>2967</v>
      </c>
      <c r="F200" s="25" t="str">
        <f>HYPERLINK("https://stat100.ameba.jp/tnk47/ratio20/illustrations/card/ill_99935_saitsukainosaki05.jpg", "■")</f>
        <v>■</v>
      </c>
      <c r="G200" s="109" t="s">
        <v>2966</v>
      </c>
      <c r="T200" s="130"/>
      <c r="U200" s="23" t="s">
        <v>2951</v>
      </c>
      <c r="V200" s="23" t="s">
        <v>1429</v>
      </c>
      <c r="W200" s="110" t="s">
        <v>1354</v>
      </c>
      <c r="X200" s="109">
        <v>30</v>
      </c>
      <c r="Y200" s="109">
        <v>102116</v>
      </c>
      <c r="Z200" s="109">
        <v>141040</v>
      </c>
      <c r="AA200" s="109" t="s">
        <v>2965</v>
      </c>
      <c r="AB200" s="109" t="s">
        <v>2825</v>
      </c>
    </row>
    <row r="201" spans="1:28" s="109" customFormat="1">
      <c r="A201" s="109" t="s">
        <v>2021</v>
      </c>
      <c r="B201" s="109">
        <v>200005</v>
      </c>
      <c r="C201" s="110" t="s">
        <v>1351</v>
      </c>
      <c r="D201" s="109" t="s">
        <v>84</v>
      </c>
      <c r="E201" s="109" t="s">
        <v>2981</v>
      </c>
      <c r="F201" s="25" t="str">
        <f>HYPERLINK("https://stat100.ameba.jp/tnk47/ratio20/illustrations/card/ill_200005_shinkainorebiatan05.jpg", "■")</f>
        <v>■</v>
      </c>
      <c r="G201" s="109" t="s">
        <v>2980</v>
      </c>
      <c r="T201" s="130"/>
      <c r="U201" s="23" t="s">
        <v>2992</v>
      </c>
      <c r="V201" s="23" t="s">
        <v>1429</v>
      </c>
      <c r="W201" s="110" t="s">
        <v>1354</v>
      </c>
      <c r="X201" s="109">
        <v>30</v>
      </c>
      <c r="Y201" s="109">
        <v>165196</v>
      </c>
      <c r="Z201" s="109">
        <v>119604</v>
      </c>
      <c r="AA201" s="109" t="s">
        <v>2979</v>
      </c>
      <c r="AB201" s="109" t="s">
        <v>3136</v>
      </c>
    </row>
    <row r="202" spans="1:28">
      <c r="A202" s="109" t="s">
        <v>2025</v>
      </c>
      <c r="B202" s="109">
        <v>200415</v>
      </c>
      <c r="C202" s="109" t="s">
        <v>1357</v>
      </c>
      <c r="D202" s="109" t="s">
        <v>79</v>
      </c>
      <c r="E202" s="15" t="s">
        <v>2946</v>
      </c>
      <c r="F202" s="25" t="str">
        <f>HYPERLINK("https://stat100.ameba.jp/tnk47/ratio20/illustrations/card/ill_200415_shukuenkurohime05.jpg", "■")</f>
        <v>■</v>
      </c>
      <c r="G202" s="109" t="s">
        <v>2947</v>
      </c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32"/>
      <c r="U202" s="23" t="s">
        <v>1429</v>
      </c>
      <c r="V202" s="23" t="s">
        <v>1429</v>
      </c>
      <c r="W202" s="109" t="s">
        <v>1093</v>
      </c>
      <c r="X202" s="109">
        <v>30</v>
      </c>
      <c r="Y202" s="109">
        <v>111328</v>
      </c>
      <c r="Z202" s="109">
        <v>153744</v>
      </c>
      <c r="AA202" s="109" t="s">
        <v>2945</v>
      </c>
      <c r="AB202" s="109" t="s">
        <v>3145</v>
      </c>
    </row>
    <row r="203" spans="1:28">
      <c r="A203" s="109" t="s">
        <v>2030</v>
      </c>
      <c r="B203" s="109">
        <v>200625</v>
      </c>
      <c r="C203" s="110" t="s">
        <v>1351</v>
      </c>
      <c r="D203" s="109" t="s">
        <v>101</v>
      </c>
      <c r="E203" s="109" t="s">
        <v>2970</v>
      </c>
      <c r="F203" s="25" t="str">
        <f>HYPERLINK("https://stat100.ameba.jp/tnk47/ratio20/illustrations/card/ill_200625_kanenringu05.jpg", "■")</f>
        <v>■</v>
      </c>
      <c r="G203" s="109" t="s">
        <v>2969</v>
      </c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23" t="s">
        <v>1429</v>
      </c>
      <c r="V203" s="23" t="s">
        <v>1429</v>
      </c>
      <c r="W203" s="109" t="s">
        <v>1093</v>
      </c>
      <c r="X203" s="109">
        <v>30</v>
      </c>
      <c r="Y203" s="109">
        <v>106654</v>
      </c>
      <c r="Z203" s="109">
        <v>147314</v>
      </c>
      <c r="AA203" s="109" t="s">
        <v>2968</v>
      </c>
      <c r="AB203" s="109" t="s">
        <v>3146</v>
      </c>
    </row>
    <row r="204" spans="1:28">
      <c r="A204" s="109" t="s">
        <v>2036</v>
      </c>
      <c r="B204" s="109">
        <v>200695</v>
      </c>
      <c r="C204" s="110" t="s">
        <v>1357</v>
      </c>
      <c r="D204" s="109" t="s">
        <v>107</v>
      </c>
      <c r="E204" s="109" t="s">
        <v>2983</v>
      </c>
      <c r="F204" s="25" t="str">
        <f>HYPERLINK("https://stat100.ameba.jp/tnk47/ratio20/illustrations/card/ill_200695_hojofuafua05.jpg", "■")</f>
        <v>■</v>
      </c>
      <c r="G204" s="109" t="s">
        <v>2984</v>
      </c>
      <c r="H204" s="109"/>
      <c r="I204" s="109"/>
      <c r="J204" s="109"/>
      <c r="K204" s="109"/>
      <c r="L204" s="109"/>
      <c r="M204" s="109"/>
      <c r="N204" s="109"/>
      <c r="O204" s="109"/>
      <c r="P204" s="109" t="s">
        <v>2994</v>
      </c>
      <c r="Q204" s="109"/>
      <c r="R204" s="109"/>
      <c r="S204" s="109"/>
      <c r="T204" s="132"/>
      <c r="U204" s="23" t="s">
        <v>1855</v>
      </c>
      <c r="V204" s="23" t="s">
        <v>1429</v>
      </c>
      <c r="W204" s="109" t="s">
        <v>1093</v>
      </c>
      <c r="X204" s="109">
        <v>30</v>
      </c>
      <c r="Y204" s="109">
        <v>119604</v>
      </c>
      <c r="Z204" s="109">
        <v>165196</v>
      </c>
      <c r="AA204" s="109" t="s">
        <v>2982</v>
      </c>
      <c r="AB204" s="109" t="s">
        <v>3147</v>
      </c>
    </row>
    <row r="205" spans="1:28">
      <c r="A205" s="109" t="s">
        <v>1869</v>
      </c>
      <c r="B205" s="109">
        <v>201085</v>
      </c>
      <c r="C205" s="109" t="s">
        <v>1351</v>
      </c>
      <c r="D205" s="109" t="s">
        <v>63</v>
      </c>
      <c r="E205" s="15" t="s">
        <v>2942</v>
      </c>
      <c r="F205" s="25" t="str">
        <f>HYPERLINK("https://stat100.ameba.jp/tnk47/ratio20/illustrations/card/ill_201085_haroinresshatemma05.jpg", "■")</f>
        <v>■</v>
      </c>
      <c r="G205" s="109" t="s">
        <v>2943</v>
      </c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32"/>
      <c r="U205" s="23" t="s">
        <v>2944</v>
      </c>
      <c r="V205" s="23" t="s">
        <v>1429</v>
      </c>
      <c r="W205" s="109" t="s">
        <v>1354</v>
      </c>
      <c r="X205" s="109">
        <v>30</v>
      </c>
      <c r="Y205" s="109">
        <v>148074</v>
      </c>
      <c r="Z205" s="109">
        <v>107198</v>
      </c>
      <c r="AA205" s="109" t="s">
        <v>2941</v>
      </c>
      <c r="AB205" s="109" t="s">
        <v>2824</v>
      </c>
    </row>
    <row r="206" spans="1:28">
      <c r="A206" s="109" t="s">
        <v>2044</v>
      </c>
      <c r="B206" s="109">
        <v>201245</v>
      </c>
      <c r="C206" s="109" t="s">
        <v>1357</v>
      </c>
      <c r="D206" s="109" t="s">
        <v>84</v>
      </c>
      <c r="E206" s="15" t="s">
        <v>2949</v>
      </c>
      <c r="F206" s="25" t="str">
        <f>HYPERLINK("https://stat100.ameba.jp/tnk47/ratio20/illustrations/card/ill_201245_hanakammurisomeiyu05.jpg", "■")</f>
        <v>■</v>
      </c>
      <c r="G206" s="109" t="s">
        <v>2950</v>
      </c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32"/>
      <c r="U206" s="23" t="s">
        <v>2951</v>
      </c>
      <c r="V206" s="23" t="s">
        <v>1429</v>
      </c>
      <c r="W206" s="109" t="s">
        <v>1354</v>
      </c>
      <c r="X206" s="109">
        <v>30</v>
      </c>
      <c r="Y206" s="109">
        <v>141040</v>
      </c>
      <c r="Z206" s="109">
        <v>102116</v>
      </c>
      <c r="AA206" s="109" t="s">
        <v>2948</v>
      </c>
      <c r="AB206" s="109" t="s">
        <v>3148</v>
      </c>
    </row>
    <row r="207" spans="1:28">
      <c r="A207" s="109" t="s">
        <v>1879</v>
      </c>
      <c r="B207" s="109">
        <v>201315</v>
      </c>
      <c r="C207" s="109" t="s">
        <v>1351</v>
      </c>
      <c r="D207" s="109" t="s">
        <v>196</v>
      </c>
      <c r="E207" s="109" t="s">
        <v>2954</v>
      </c>
      <c r="F207" s="25" t="str">
        <f>HYPERLINK("https://stat100.ameba.jp/tnk47/ratio20/illustrations/card/ill_201315_hyupunosu05.jpg", "■")</f>
        <v>■</v>
      </c>
      <c r="G207" s="109" t="s">
        <v>2953</v>
      </c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32"/>
      <c r="U207" s="23" t="s">
        <v>2955</v>
      </c>
      <c r="V207" s="23" t="s">
        <v>1429</v>
      </c>
      <c r="W207" s="109" t="s">
        <v>1354</v>
      </c>
      <c r="X207" s="109">
        <v>30</v>
      </c>
      <c r="Y207" s="109">
        <v>170572</v>
      </c>
      <c r="Z207" s="109">
        <v>123520</v>
      </c>
      <c r="AA207" s="109" t="s">
        <v>2952</v>
      </c>
      <c r="AB207" s="109" t="s">
        <v>3149</v>
      </c>
    </row>
    <row r="208" spans="1:28">
      <c r="A208" s="110" t="s">
        <v>1534</v>
      </c>
      <c r="B208" s="4">
        <v>201715</v>
      </c>
      <c r="C208" s="110" t="s">
        <v>1351</v>
      </c>
      <c r="D208" s="110" t="s">
        <v>21</v>
      </c>
      <c r="E208" s="15" t="s">
        <v>2986</v>
      </c>
      <c r="F208" s="25" t="str">
        <f>HYPERLINK("https://stat100.ameba.jp/tnk47/ratio20/illustrations/card/ill_201715_mafuiahorikoshisoen05.jpg", "■")</f>
        <v>■</v>
      </c>
      <c r="G208" s="110" t="s">
        <v>2987</v>
      </c>
      <c r="T208" s="132"/>
      <c r="U208" s="23" t="s">
        <v>2993</v>
      </c>
      <c r="V208" s="23" t="s">
        <v>1429</v>
      </c>
      <c r="W208" s="110" t="s">
        <v>1354</v>
      </c>
      <c r="X208" s="110">
        <v>30</v>
      </c>
      <c r="Y208" s="110">
        <v>129682</v>
      </c>
      <c r="Z208" s="110">
        <v>179098</v>
      </c>
      <c r="AA208" s="110" t="s">
        <v>2985</v>
      </c>
      <c r="AB208" s="110" t="s">
        <v>1010</v>
      </c>
    </row>
    <row r="209" spans="1:28">
      <c r="A209" s="110" t="s">
        <v>1887</v>
      </c>
      <c r="B209" s="112">
        <v>201875</v>
      </c>
      <c r="C209" s="112" t="s">
        <v>1351</v>
      </c>
      <c r="D209" s="112" t="s">
        <v>107</v>
      </c>
      <c r="E209" s="15" t="s">
        <v>3031</v>
      </c>
      <c r="F209" s="25" t="str">
        <f>HYPERLINK("https://stat100.ameba.jp/tnk47/ratio20/illustrations/card/ill_201875_makyowaizumira05.jpg", "■")</f>
        <v>■</v>
      </c>
      <c r="G209" s="112" t="s">
        <v>3032</v>
      </c>
      <c r="T209" s="132"/>
      <c r="U209" s="23" t="s">
        <v>3036</v>
      </c>
      <c r="V209" s="23" t="s">
        <v>1429</v>
      </c>
      <c r="W209" s="113" t="s">
        <v>1354</v>
      </c>
      <c r="X209" s="110">
        <v>30</v>
      </c>
      <c r="Y209" s="112">
        <v>102116</v>
      </c>
      <c r="Z209" s="112">
        <v>141040</v>
      </c>
      <c r="AA209" s="112" t="s">
        <v>3030</v>
      </c>
      <c r="AB209" s="112" t="s">
        <v>3150</v>
      </c>
    </row>
    <row r="210" spans="1:28">
      <c r="A210" s="110" t="s">
        <v>1893</v>
      </c>
      <c r="B210" s="4">
        <v>201945</v>
      </c>
      <c r="C210" s="113" t="s">
        <v>1357</v>
      </c>
      <c r="D210" s="4" t="s">
        <v>63</v>
      </c>
      <c r="E210" s="4" t="s">
        <v>3034</v>
      </c>
      <c r="F210" s="25" t="str">
        <f>HYPERLINK("https://stat100.ameba.jp/tnk47/ratio20/illustrations/card/ill_201945_sentoonihime05.jpg", "■")</f>
        <v>■</v>
      </c>
      <c r="G210" s="4" t="s">
        <v>3035</v>
      </c>
      <c r="T210" s="132"/>
      <c r="U210" s="23" t="s">
        <v>3201</v>
      </c>
      <c r="V210" s="23" t="s">
        <v>1429</v>
      </c>
      <c r="W210" s="116" t="s">
        <v>1354</v>
      </c>
      <c r="X210" s="110">
        <v>30</v>
      </c>
      <c r="Y210" s="4">
        <v>214682</v>
      </c>
      <c r="Z210" s="4">
        <v>155444</v>
      </c>
      <c r="AA210" s="4" t="s">
        <v>3033</v>
      </c>
      <c r="AB210" s="4" t="s">
        <v>3151</v>
      </c>
    </row>
    <row r="211" spans="1:28">
      <c r="A211" s="116" t="s">
        <v>1545</v>
      </c>
      <c r="B211" s="4">
        <v>202355</v>
      </c>
      <c r="C211" s="116" t="s">
        <v>1351</v>
      </c>
      <c r="D211" s="4" t="s">
        <v>68</v>
      </c>
      <c r="E211" s="4" t="s">
        <v>3046</v>
      </c>
      <c r="F211" s="25" t="str">
        <f>HYPERLINK("https://stat100.ameba.jp/tnk47/ratio20/illustrations/card/ill_202355_bikinikurisumasumatehime05.jpg", "■")</f>
        <v>■</v>
      </c>
      <c r="G211" s="4" t="s">
        <v>3045</v>
      </c>
      <c r="T211" s="136" t="s">
        <v>3200</v>
      </c>
      <c r="U211" s="4" t="s">
        <v>3047</v>
      </c>
      <c r="V211" s="23" t="s">
        <v>1429</v>
      </c>
      <c r="W211" s="116" t="s">
        <v>1354</v>
      </c>
      <c r="X211" s="116">
        <v>30</v>
      </c>
      <c r="Y211" s="4">
        <v>125554</v>
      </c>
      <c r="Z211" s="4">
        <v>173432</v>
      </c>
      <c r="AA211" s="4" t="s">
        <v>3044</v>
      </c>
      <c r="AB211" s="4" t="s">
        <v>3152</v>
      </c>
    </row>
    <row r="212" spans="1:28">
      <c r="A212" s="116" t="s">
        <v>1903</v>
      </c>
      <c r="B212" s="4">
        <v>202515</v>
      </c>
      <c r="C212" s="116" t="s">
        <v>1357</v>
      </c>
      <c r="D212" s="4" t="s">
        <v>101</v>
      </c>
      <c r="E212" s="4" t="s">
        <v>3048</v>
      </c>
      <c r="F212" s="25" t="str">
        <f>HYPERLINK("https://stat100.ameba.jp/tnk47/ratio20/illustrations/card/ill_202515_shimonokyojintoshojo05.jpg", "■")</f>
        <v>■</v>
      </c>
      <c r="G212" s="4" t="s">
        <v>3049</v>
      </c>
      <c r="T212" s="136" t="s">
        <v>3200</v>
      </c>
      <c r="U212" s="4" t="s">
        <v>2878</v>
      </c>
      <c r="V212" s="23" t="s">
        <v>1429</v>
      </c>
      <c r="W212" s="116" t="s">
        <v>1354</v>
      </c>
      <c r="X212" s="116">
        <v>30</v>
      </c>
      <c r="Y212" s="4">
        <v>119604</v>
      </c>
      <c r="Z212" s="4">
        <v>165196</v>
      </c>
      <c r="AA212" s="4" t="s">
        <v>3050</v>
      </c>
      <c r="AB212" s="4" t="s">
        <v>3153</v>
      </c>
    </row>
    <row r="213" spans="1:28">
      <c r="A213" s="116" t="s">
        <v>1909</v>
      </c>
      <c r="B213" s="4">
        <v>202585</v>
      </c>
      <c r="C213" s="116" t="s">
        <v>1351</v>
      </c>
      <c r="D213" s="4" t="s">
        <v>89</v>
      </c>
      <c r="E213" s="4" t="s">
        <v>3051</v>
      </c>
      <c r="F213" s="25" t="str">
        <f>HYPERLINK("https://stat100.ameba.jp/tnk47/ratio20/illustrations/card/ill_202585_tonakainorinoyaruna05.jpg", "■")</f>
        <v>■</v>
      </c>
      <c r="G213" s="4" t="s">
        <v>3052</v>
      </c>
      <c r="T213" s="136" t="s">
        <v>3200</v>
      </c>
      <c r="U213" s="4" t="s">
        <v>3053</v>
      </c>
      <c r="V213" s="23" t="s">
        <v>1429</v>
      </c>
      <c r="W213" s="116" t="s">
        <v>1354</v>
      </c>
      <c r="X213" s="116">
        <v>30</v>
      </c>
      <c r="Y213" s="4">
        <v>170572</v>
      </c>
      <c r="Z213" s="4">
        <v>123520</v>
      </c>
      <c r="AA213" s="4" t="s">
        <v>3054</v>
      </c>
      <c r="AB213" s="4" t="s">
        <v>3154</v>
      </c>
    </row>
    <row r="215" spans="1:28">
      <c r="A215" s="118" t="s">
        <v>3056</v>
      </c>
    </row>
    <row r="216" spans="1:28">
      <c r="A216" s="118" t="s">
        <v>1914</v>
      </c>
      <c r="B216" s="4">
        <v>203035</v>
      </c>
      <c r="C216" s="118" t="s">
        <v>1357</v>
      </c>
      <c r="D216" s="4" t="s">
        <v>196</v>
      </c>
      <c r="E216" s="4" t="s">
        <v>3060</v>
      </c>
      <c r="F216" s="25" t="str">
        <f>HYPERLINK("https://stat100.ameba.jp/tnk47/ratio20/illustrations/card/ill_203035_shinshumbampukukinchotanuki05.jpg", "■")</f>
        <v>■</v>
      </c>
      <c r="G216" s="4" t="s">
        <v>3059</v>
      </c>
      <c r="U216" s="4" t="s">
        <v>3061</v>
      </c>
      <c r="V216" s="23" t="s">
        <v>1429</v>
      </c>
      <c r="W216" s="118" t="s">
        <v>1354</v>
      </c>
      <c r="X216" s="4">
        <v>31</v>
      </c>
      <c r="Y216" s="4">
        <v>185067</v>
      </c>
      <c r="Z216" s="4">
        <v>134005</v>
      </c>
      <c r="AA216" s="4" t="s">
        <v>3058</v>
      </c>
      <c r="AB216" s="4" t="s">
        <v>3149</v>
      </c>
    </row>
    <row r="217" spans="1:28">
      <c r="A217" s="118" t="s">
        <v>1920</v>
      </c>
      <c r="B217" s="4">
        <v>203195</v>
      </c>
      <c r="C217" s="119" t="s">
        <v>1351</v>
      </c>
      <c r="D217" s="119" t="s">
        <v>79</v>
      </c>
      <c r="E217" s="4" t="s">
        <v>3062</v>
      </c>
      <c r="F217" s="25" t="str">
        <f>HYPERLINK("https://stat100.ameba.jp/tnk47/ratio20/illustrations/card/ill_203195_chukeisaisakimode05.jpg", "■")</f>
        <v>■</v>
      </c>
      <c r="G217" s="4" t="s">
        <v>3063</v>
      </c>
      <c r="U217" s="120" t="s">
        <v>3065</v>
      </c>
      <c r="V217" s="23" t="s">
        <v>1429</v>
      </c>
      <c r="W217" s="120" t="s">
        <v>1354</v>
      </c>
      <c r="X217" s="118">
        <v>31</v>
      </c>
      <c r="Y217" s="4">
        <v>160625</v>
      </c>
      <c r="Z217" s="4">
        <v>221838</v>
      </c>
      <c r="AA217" s="4" t="s">
        <v>3064</v>
      </c>
      <c r="AB217" s="4" t="s">
        <v>3155</v>
      </c>
    </row>
    <row r="218" spans="1:28">
      <c r="A218" s="120" t="s">
        <v>1925</v>
      </c>
      <c r="B218" s="4">
        <v>203265</v>
      </c>
      <c r="C218" s="120" t="s">
        <v>1357</v>
      </c>
      <c r="D218" s="23" t="s">
        <v>15</v>
      </c>
      <c r="E218" s="23" t="s">
        <v>3066</v>
      </c>
      <c r="F218" s="25" t="str">
        <f>HYPERLINK("https://stat100.ameba.jp/tnk47/ratio20/illustrations/card/ill_203265_harisaijo05.jpg", "■")</f>
        <v>■</v>
      </c>
      <c r="G218" s="4" t="s">
        <v>3067</v>
      </c>
      <c r="U218" s="23" t="s">
        <v>3107</v>
      </c>
      <c r="V218" s="23" t="s">
        <v>1429</v>
      </c>
      <c r="W218" s="121" t="s">
        <v>1354</v>
      </c>
      <c r="X218" s="120">
        <v>31</v>
      </c>
      <c r="Y218" s="4">
        <v>170702</v>
      </c>
      <c r="Z218" s="4">
        <v>123591</v>
      </c>
      <c r="AA218" s="4" t="s">
        <v>3068</v>
      </c>
      <c r="AB218" s="4" t="s">
        <v>3156</v>
      </c>
    </row>
    <row r="219" spans="1:28">
      <c r="A219" s="124" t="s">
        <v>1566</v>
      </c>
      <c r="B219" s="125">
        <v>203805</v>
      </c>
      <c r="C219" s="124" t="s">
        <v>2746</v>
      </c>
      <c r="D219" s="124" t="s">
        <v>43</v>
      </c>
      <c r="E219" s="15" t="s">
        <v>3108</v>
      </c>
      <c r="F219" s="25" t="str">
        <f>HYPERLINK("https://stat100.ameba.jp/tnk47/ratio20/illustrations/card/ill_203805_setsubunsaikuroyuridensetsu05.jpg", "■")</f>
        <v>■</v>
      </c>
      <c r="G219" s="4" t="s">
        <v>3114</v>
      </c>
      <c r="U219" s="4" t="s">
        <v>3119</v>
      </c>
      <c r="V219" s="23" t="s">
        <v>1429</v>
      </c>
      <c r="W219" s="124" t="s">
        <v>1354</v>
      </c>
      <c r="X219" s="124">
        <v>31</v>
      </c>
      <c r="Y219" s="4">
        <v>129739</v>
      </c>
      <c r="Z219" s="4">
        <v>179213</v>
      </c>
      <c r="AA219" s="4" t="s">
        <v>3113</v>
      </c>
      <c r="AB219" s="4" t="s">
        <v>3157</v>
      </c>
    </row>
    <row r="220" spans="1:28">
      <c r="A220" s="124" t="s">
        <v>1933</v>
      </c>
      <c r="B220" s="125">
        <v>203965</v>
      </c>
      <c r="C220" s="124" t="s">
        <v>2811</v>
      </c>
      <c r="D220" s="124" t="s">
        <v>21</v>
      </c>
      <c r="E220" s="28" t="s">
        <v>3111</v>
      </c>
      <c r="F220" s="25" t="str">
        <f>HYPERLINK("https://stat100.ameba.jp/tnk47/ratio20/illustrations/card/ill_203965_tezukurichokoraura05.jpg", "■")</f>
        <v>■</v>
      </c>
      <c r="G220" s="4" t="s">
        <v>3116</v>
      </c>
      <c r="U220" s="4" t="s">
        <v>3109</v>
      </c>
      <c r="V220" s="23" t="s">
        <v>1429</v>
      </c>
      <c r="W220" s="124" t="s">
        <v>1354</v>
      </c>
      <c r="X220" s="124">
        <v>31</v>
      </c>
      <c r="Y220" s="4">
        <v>176258</v>
      </c>
      <c r="Z220" s="4">
        <v>127637</v>
      </c>
      <c r="AA220" s="4" t="s">
        <v>3115</v>
      </c>
      <c r="AB220" s="4" t="s">
        <v>3154</v>
      </c>
    </row>
    <row r="221" spans="1:28">
      <c r="A221" s="124" t="s">
        <v>1938</v>
      </c>
      <c r="B221" s="125">
        <v>204035</v>
      </c>
      <c r="C221" s="124" t="s">
        <v>2809</v>
      </c>
      <c r="D221" s="124" t="s">
        <v>552</v>
      </c>
      <c r="E221" s="28" t="s">
        <v>3112</v>
      </c>
      <c r="F221" s="25" t="str">
        <f>HYPERLINK("https://stat100.ameba.jp/tnk47/ratio20/illustrations/card/ill_204035_fureiaandofurei05.jpg", "■")</f>
        <v>■</v>
      </c>
      <c r="G221" s="4" t="s">
        <v>3118</v>
      </c>
      <c r="U221" s="4" t="s">
        <v>3110</v>
      </c>
      <c r="V221" s="23" t="s">
        <v>1429</v>
      </c>
      <c r="W221" s="124" t="s">
        <v>1354</v>
      </c>
      <c r="X221" s="124">
        <v>31</v>
      </c>
      <c r="Y221" s="4">
        <v>152225</v>
      </c>
      <c r="Z221" s="4">
        <v>110210</v>
      </c>
      <c r="AA221" s="4" t="s">
        <v>3117</v>
      </c>
      <c r="AB221" s="4" t="s">
        <v>3158</v>
      </c>
    </row>
    <row r="222" spans="1:28">
      <c r="A222" s="126" t="s">
        <v>1581</v>
      </c>
      <c r="B222" s="4">
        <v>204505</v>
      </c>
      <c r="C222" s="126" t="s">
        <v>2811</v>
      </c>
      <c r="D222" s="4" t="s">
        <v>107</v>
      </c>
      <c r="E222" s="4" t="s">
        <v>3123</v>
      </c>
      <c r="F222" s="25" t="str">
        <f>HYPERLINK("https://stat100.ameba.jp/tnk47/ratio20/illustrations/card/ill_204505_aidoruraibusanukiudonchan05.jpg", "■")</f>
        <v>■</v>
      </c>
      <c r="G222" s="4" t="s">
        <v>3124</v>
      </c>
      <c r="U222" s="4" t="s">
        <v>3159</v>
      </c>
      <c r="V222" s="23" t="s">
        <v>1429</v>
      </c>
      <c r="W222" s="126" t="s">
        <v>1354</v>
      </c>
      <c r="X222" s="126">
        <v>31</v>
      </c>
      <c r="Y222" s="4">
        <v>168643</v>
      </c>
      <c r="Z222" s="4">
        <v>232897</v>
      </c>
      <c r="AA222" s="4" t="s">
        <v>3125</v>
      </c>
      <c r="AB222" s="4" t="s">
        <v>3166</v>
      </c>
    </row>
    <row r="223" spans="1:28">
      <c r="A223" s="128" t="s">
        <v>2099</v>
      </c>
      <c r="B223" s="4">
        <v>204665</v>
      </c>
      <c r="C223" s="129" t="s">
        <v>2809</v>
      </c>
      <c r="D223" s="129" t="s">
        <v>84</v>
      </c>
      <c r="E223" s="4" t="s">
        <v>3162</v>
      </c>
      <c r="F223" s="25" t="str">
        <f>HYPERLINK("https://stat100.ameba.jp/tnk47/ratio20/illustrations/card/ill_204665_suzuransuisen05.jpg", "■")</f>
        <v>■</v>
      </c>
      <c r="G223" s="4" t="s">
        <v>3163</v>
      </c>
      <c r="U223" s="23" t="s">
        <v>3172</v>
      </c>
      <c r="V223" s="23" t="s">
        <v>1429</v>
      </c>
      <c r="W223" s="130" t="s">
        <v>1354</v>
      </c>
      <c r="X223" s="128">
        <v>31</v>
      </c>
      <c r="Y223" s="4">
        <v>123591</v>
      </c>
      <c r="Z223" s="4">
        <v>170702</v>
      </c>
      <c r="AA223" s="4" t="s">
        <v>3164</v>
      </c>
      <c r="AB223" s="4" t="s">
        <v>3165</v>
      </c>
    </row>
    <row r="224" spans="1:28">
      <c r="A224" s="130" t="s">
        <v>1950</v>
      </c>
      <c r="B224" s="4">
        <v>204735</v>
      </c>
      <c r="C224" s="130" t="s">
        <v>2811</v>
      </c>
      <c r="D224" s="130" t="s">
        <v>79</v>
      </c>
      <c r="E224" s="4" t="s">
        <v>3167</v>
      </c>
      <c r="F224" s="25" t="str">
        <f>HYPERLINK("https://stat100.ameba.jp/tnk47/ratio20/illustrations/card/ill_204735_shunchopioni05.jpg", "■")</f>
        <v>■</v>
      </c>
      <c r="G224" s="4" t="s">
        <v>3168</v>
      </c>
      <c r="U224" s="4" t="s">
        <v>3169</v>
      </c>
      <c r="V224" s="23" t="s">
        <v>1429</v>
      </c>
      <c r="W224" s="130" t="s">
        <v>1354</v>
      </c>
      <c r="X224" s="130">
        <v>31</v>
      </c>
      <c r="Y224" s="4">
        <v>151331</v>
      </c>
      <c r="Z224" s="4">
        <v>109569</v>
      </c>
      <c r="AA224" s="4" t="s">
        <v>3170</v>
      </c>
      <c r="AB224" s="4" t="s">
        <v>3171</v>
      </c>
    </row>
  </sheetData>
  <phoneticPr fontId="4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FEB2-0E21-4279-AE64-99857C9B0D65}">
  <dimension ref="A1:AQ95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" style="4" customWidth="1"/>
    <col min="2" max="2" width="10.58203125" style="4" customWidth="1"/>
    <col min="3" max="3" width="5.58203125" style="4" customWidth="1"/>
    <col min="4" max="4" width="20.9140625" style="4" customWidth="1"/>
    <col min="5" max="5" width="3.9140625" style="4" customWidth="1"/>
    <col min="6" max="6" width="20.9140625" style="4" hidden="1" customWidth="1"/>
    <col min="7" max="22" width="3.4140625" style="4" hidden="1" customWidth="1"/>
    <col min="23" max="26" width="3.4140625" style="4" customWidth="1"/>
    <col min="27" max="27" width="3.4140625" style="21" customWidth="1"/>
    <col min="28" max="28" width="3.4140625" style="39" customWidth="1"/>
    <col min="29" max="29" width="3.4140625" style="42" customWidth="1"/>
    <col min="30" max="30" width="3.4140625" style="55" customWidth="1"/>
    <col min="31" max="32" width="3.4140625" style="67" customWidth="1"/>
    <col min="33" max="33" width="3.4140625" style="90" customWidth="1"/>
    <col min="34" max="35" width="3.4140625" style="89" customWidth="1"/>
    <col min="36" max="36" width="3.4140625" style="99" customWidth="1"/>
    <col min="37" max="37" width="20.75" style="4" hidden="1" customWidth="1"/>
    <col min="38" max="38" width="6.75" style="4" customWidth="1"/>
    <col min="39" max="39" width="4.9140625" style="4" customWidth="1"/>
    <col min="40" max="41" width="7.33203125" style="4" customWidth="1"/>
    <col min="42" max="42" width="27.75" style="4" hidden="1" customWidth="1"/>
    <col min="43" max="43" width="71" style="4" customWidth="1"/>
    <col min="44" max="16384" width="8.9140625" style="4"/>
  </cols>
  <sheetData>
    <row r="1" spans="1:43">
      <c r="A1" s="1" t="s">
        <v>586</v>
      </c>
      <c r="B1" s="1" t="s">
        <v>1343</v>
      </c>
      <c r="C1" s="1" t="s">
        <v>1344</v>
      </c>
      <c r="D1" s="1" t="s">
        <v>1345</v>
      </c>
      <c r="E1" s="1" t="s">
        <v>5</v>
      </c>
      <c r="F1" s="1" t="s">
        <v>1346</v>
      </c>
      <c r="G1" s="1">
        <v>13</v>
      </c>
      <c r="H1" s="1">
        <v>13</v>
      </c>
      <c r="I1" s="1">
        <v>13</v>
      </c>
      <c r="J1" s="1">
        <v>13</v>
      </c>
      <c r="K1" s="1">
        <v>13</v>
      </c>
      <c r="L1" s="1">
        <v>13</v>
      </c>
      <c r="M1" s="1">
        <v>13</v>
      </c>
      <c r="N1" s="1">
        <v>13</v>
      </c>
      <c r="O1" s="1">
        <v>15</v>
      </c>
      <c r="P1" s="1">
        <v>15</v>
      </c>
      <c r="Q1" s="1">
        <v>15</v>
      </c>
      <c r="R1" s="1">
        <v>16</v>
      </c>
      <c r="S1" s="1">
        <v>16</v>
      </c>
      <c r="T1" s="1">
        <v>16</v>
      </c>
      <c r="U1" s="1">
        <v>16</v>
      </c>
      <c r="V1" s="1">
        <v>16</v>
      </c>
      <c r="W1" s="1">
        <v>17</v>
      </c>
      <c r="X1" s="1">
        <v>17</v>
      </c>
      <c r="Y1" s="1">
        <v>18</v>
      </c>
      <c r="Z1" s="1">
        <v>19</v>
      </c>
      <c r="AA1" s="1">
        <v>20</v>
      </c>
      <c r="AB1" s="1">
        <v>21</v>
      </c>
      <c r="AC1" s="1">
        <v>21</v>
      </c>
      <c r="AD1" s="1">
        <v>21</v>
      </c>
      <c r="AE1" s="1">
        <v>21</v>
      </c>
      <c r="AF1" s="1">
        <v>23</v>
      </c>
      <c r="AG1" s="1">
        <v>23</v>
      </c>
      <c r="AH1" s="1">
        <v>24</v>
      </c>
      <c r="AI1" s="1">
        <v>24</v>
      </c>
      <c r="AJ1" s="1">
        <v>25</v>
      </c>
      <c r="AK1" s="1" t="s">
        <v>543</v>
      </c>
      <c r="AL1" s="1" t="s">
        <v>1347</v>
      </c>
      <c r="AM1" s="1" t="s">
        <v>7</v>
      </c>
      <c r="AN1" s="1" t="s">
        <v>544</v>
      </c>
      <c r="AO1" s="1" t="s">
        <v>545</v>
      </c>
      <c r="AP1" s="1" t="s">
        <v>1348</v>
      </c>
      <c r="AQ1" s="1" t="s">
        <v>11</v>
      </c>
    </row>
    <row r="3" spans="1:43" hidden="1">
      <c r="G3" s="4">
        <v>1</v>
      </c>
      <c r="H3" s="4">
        <v>0</v>
      </c>
      <c r="I3" s="4">
        <v>0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v>1</v>
      </c>
      <c r="Q3" s="4">
        <v>3</v>
      </c>
      <c r="R3" s="4">
        <v>0</v>
      </c>
      <c r="S3" s="4">
        <v>2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2">
        <v>0</v>
      </c>
      <c r="AB3" s="42">
        <v>0</v>
      </c>
      <c r="AC3" s="42">
        <v>0</v>
      </c>
      <c r="AD3" s="55">
        <v>0</v>
      </c>
      <c r="AK3" s="42"/>
    </row>
    <row r="4" spans="1:43">
      <c r="A4" s="4">
        <v>34685</v>
      </c>
      <c r="B4" s="4" t="s">
        <v>2110</v>
      </c>
      <c r="C4" s="4" t="s">
        <v>248</v>
      </c>
      <c r="D4" s="5" t="s">
        <v>2111</v>
      </c>
      <c r="E4" s="16" t="str">
        <f>HYPERLINK("https://stat100.ameba.jp/tnk47/ratio20/illustrations/card/ill_34685_togarashi05.jpg", "■")</f>
        <v>■</v>
      </c>
      <c r="F4" s="4" t="s">
        <v>2112</v>
      </c>
      <c r="G4" s="4" t="s">
        <v>2113</v>
      </c>
      <c r="AL4" s="4" t="s">
        <v>1093</v>
      </c>
      <c r="AM4" s="4">
        <v>17</v>
      </c>
      <c r="AN4" s="4">
        <v>55998</v>
      </c>
      <c r="AO4" s="4">
        <v>73094</v>
      </c>
      <c r="AP4" s="4" t="s">
        <v>2114</v>
      </c>
      <c r="AQ4" s="4" t="s">
        <v>2115</v>
      </c>
    </row>
    <row r="5" spans="1:43">
      <c r="A5" s="4">
        <v>2975</v>
      </c>
      <c r="B5" s="4" t="s">
        <v>2116</v>
      </c>
      <c r="C5" s="4" t="s">
        <v>308</v>
      </c>
      <c r="D5" s="5" t="s">
        <v>2117</v>
      </c>
      <c r="E5" s="16" t="str">
        <f>HYPERLINK("https://stat100.ameba.jp/tnk47/ratio20/illustrations/card/ill_2975_saientenshoinatsuhime05.jpg", "■")</f>
        <v>■</v>
      </c>
      <c r="F5" s="4" t="s">
        <v>2118</v>
      </c>
      <c r="G5" s="4" t="s">
        <v>2113</v>
      </c>
      <c r="AL5" s="4" t="s">
        <v>1093</v>
      </c>
      <c r="AM5" s="4">
        <v>17</v>
      </c>
      <c r="AN5" s="4">
        <v>73094</v>
      </c>
      <c r="AO5" s="4">
        <v>55998</v>
      </c>
      <c r="AP5" s="4" t="s">
        <v>2119</v>
      </c>
      <c r="AQ5" s="4" t="s">
        <v>2120</v>
      </c>
    </row>
    <row r="6" spans="1:43">
      <c r="A6" s="4">
        <v>36855</v>
      </c>
      <c r="B6" s="4" t="s">
        <v>2110</v>
      </c>
      <c r="C6" s="4" t="s">
        <v>308</v>
      </c>
      <c r="D6" s="5" t="s">
        <v>2121</v>
      </c>
      <c r="E6" s="16" t="str">
        <f>HYPERLINK("https://stat100.ameba.jp/tnk47/ratio20/illustrations/card/ill_36855_yozakuranohime05.jpg", "■")</f>
        <v>■</v>
      </c>
      <c r="F6" s="4" t="s">
        <v>2122</v>
      </c>
      <c r="G6" s="4" t="s">
        <v>2113</v>
      </c>
      <c r="H6" s="4" t="s">
        <v>2113</v>
      </c>
      <c r="AL6" s="4" t="s">
        <v>1093</v>
      </c>
      <c r="AM6" s="4" t="s">
        <v>522</v>
      </c>
      <c r="AN6" s="4" t="s">
        <v>522</v>
      </c>
      <c r="AO6" s="4" t="s">
        <v>522</v>
      </c>
      <c r="AP6" s="4" t="s">
        <v>2123</v>
      </c>
      <c r="AQ6" s="4" t="s">
        <v>2124</v>
      </c>
    </row>
    <row r="7" spans="1:43">
      <c r="A7" s="4">
        <v>37125</v>
      </c>
      <c r="B7" s="4" t="s">
        <v>2110</v>
      </c>
      <c r="C7" s="4" t="s">
        <v>235</v>
      </c>
      <c r="D7" s="5" t="s">
        <v>2125</v>
      </c>
      <c r="E7" s="16" t="str">
        <f>HYPERLINK("https://stat100.ameba.jp/tnk47/ratio20/illustrations/card/ill_37125_kenshinkorinyamatotakeru05.jpg", "■")</f>
        <v>■</v>
      </c>
      <c r="F7" s="4" t="s">
        <v>2126</v>
      </c>
      <c r="G7" s="4" t="s">
        <v>2113</v>
      </c>
      <c r="H7" s="4" t="s">
        <v>2113</v>
      </c>
      <c r="AL7" s="4" t="s">
        <v>1093</v>
      </c>
      <c r="AM7" s="4" t="s">
        <v>522</v>
      </c>
      <c r="AN7" s="4" t="s">
        <v>522</v>
      </c>
      <c r="AO7" s="4" t="s">
        <v>522</v>
      </c>
      <c r="AP7" s="4" t="s">
        <v>2127</v>
      </c>
      <c r="AQ7" s="4" t="s">
        <v>2128</v>
      </c>
    </row>
    <row r="8" spans="1:43">
      <c r="A8" s="4">
        <v>36185</v>
      </c>
      <c r="B8" s="4" t="s">
        <v>2129</v>
      </c>
      <c r="C8" s="4" t="s">
        <v>229</v>
      </c>
      <c r="D8" s="5" t="s">
        <v>2130</v>
      </c>
      <c r="E8" s="16" t="str">
        <f>HYPERLINK("https://stat100.ameba.jp/tnk47/ratio20/illustrations/card/ill_36185_kabukicho05.jpg", "■")</f>
        <v>■</v>
      </c>
      <c r="F8" s="4" t="s">
        <v>2131</v>
      </c>
      <c r="G8" s="4" t="s">
        <v>2113</v>
      </c>
      <c r="H8" s="4" t="s">
        <v>2113</v>
      </c>
      <c r="AL8" s="4" t="s">
        <v>1093</v>
      </c>
      <c r="AM8" s="4" t="s">
        <v>522</v>
      </c>
      <c r="AN8" s="4" t="s">
        <v>522</v>
      </c>
      <c r="AO8" s="4" t="s">
        <v>522</v>
      </c>
      <c r="AP8" s="4" t="s">
        <v>2132</v>
      </c>
      <c r="AQ8" s="4" t="s">
        <v>2133</v>
      </c>
    </row>
    <row r="9" spans="1:43">
      <c r="A9" s="4">
        <v>39255</v>
      </c>
      <c r="B9" s="4" t="s">
        <v>2110</v>
      </c>
      <c r="C9" s="4" t="s">
        <v>248</v>
      </c>
      <c r="D9" s="5" t="s">
        <v>2134</v>
      </c>
      <c r="E9" s="16" t="str">
        <f>HYPERLINK("https://stat100.ameba.jp/tnk47/ratio20/illustrations/card/ill_39255_saroinsutekichan05.jpg", "■")</f>
        <v>■</v>
      </c>
      <c r="F9" s="4" t="s">
        <v>2135</v>
      </c>
      <c r="G9" s="4" t="s">
        <v>2113</v>
      </c>
      <c r="H9" s="4" t="s">
        <v>2113</v>
      </c>
      <c r="AL9" s="4" t="s">
        <v>1093</v>
      </c>
      <c r="AM9" s="4" t="s">
        <v>522</v>
      </c>
      <c r="AN9" s="4" t="s">
        <v>522</v>
      </c>
      <c r="AO9" s="4" t="s">
        <v>522</v>
      </c>
      <c r="AP9" s="4" t="s">
        <v>2136</v>
      </c>
      <c r="AQ9" s="4" t="s">
        <v>2137</v>
      </c>
    </row>
    <row r="10" spans="1:43">
      <c r="A10" s="4">
        <v>39385</v>
      </c>
      <c r="B10" s="4" t="s">
        <v>2110</v>
      </c>
      <c r="C10" s="4" t="s">
        <v>242</v>
      </c>
      <c r="D10" s="5" t="s">
        <v>2138</v>
      </c>
      <c r="E10" s="16" t="str">
        <f>HYPERLINK("https://stat100.ameba.jp/tnk47/ratio20/illustrations/card/ill_39385_shinderera05.jpg", "■")</f>
        <v>■</v>
      </c>
      <c r="F10" s="4" t="s">
        <v>2139</v>
      </c>
      <c r="G10" s="4" t="s">
        <v>2113</v>
      </c>
      <c r="H10" s="4" t="s">
        <v>2113</v>
      </c>
      <c r="I10" s="4" t="s">
        <v>2113</v>
      </c>
      <c r="AL10" s="4" t="s">
        <v>1093</v>
      </c>
      <c r="AM10" s="4" t="s">
        <v>522</v>
      </c>
      <c r="AN10" s="4" t="s">
        <v>522</v>
      </c>
      <c r="AO10" s="4" t="s">
        <v>522</v>
      </c>
      <c r="AP10" s="4" t="s">
        <v>2140</v>
      </c>
      <c r="AQ10" s="4" t="s">
        <v>2141</v>
      </c>
    </row>
    <row r="11" spans="1:43">
      <c r="A11" s="4">
        <v>39275</v>
      </c>
      <c r="B11" s="4" t="s">
        <v>1863</v>
      </c>
      <c r="C11" s="4" t="s">
        <v>209</v>
      </c>
      <c r="D11" s="5" t="s">
        <v>2142</v>
      </c>
      <c r="E11" s="16" t="str">
        <f>HYPERLINK("https://stat100.ameba.jp/tnk47/ratio20/illustrations/card/ill_39275_honganjikennyo05.jpg", "■")</f>
        <v>■</v>
      </c>
      <c r="F11" s="4" t="s">
        <v>2143</v>
      </c>
      <c r="G11" s="4" t="s">
        <v>2113</v>
      </c>
      <c r="H11" s="4" t="s">
        <v>2113</v>
      </c>
      <c r="I11" s="4" t="s">
        <v>2113</v>
      </c>
      <c r="AL11" s="4" t="s">
        <v>1093</v>
      </c>
      <c r="AM11" s="4" t="s">
        <v>522</v>
      </c>
      <c r="AN11" s="4" t="s">
        <v>522</v>
      </c>
      <c r="AO11" s="4" t="s">
        <v>522</v>
      </c>
      <c r="AP11" s="4" t="s">
        <v>2144</v>
      </c>
      <c r="AQ11" s="4" t="s">
        <v>2145</v>
      </c>
    </row>
    <row r="12" spans="1:43">
      <c r="A12" s="4">
        <v>41595</v>
      </c>
      <c r="B12" s="4" t="s">
        <v>2110</v>
      </c>
      <c r="C12" s="4" t="s">
        <v>229</v>
      </c>
      <c r="D12" s="5" t="s">
        <v>2146</v>
      </c>
      <c r="E12" s="16" t="str">
        <f>HYPERLINK("https://stat100.ameba.jp/tnk47/ratio20/illustrations/card/ill_41595_kabutomushi05.jpg", "■")</f>
        <v>■</v>
      </c>
      <c r="F12" s="4" t="s">
        <v>2147</v>
      </c>
      <c r="G12" s="4" t="s">
        <v>2113</v>
      </c>
      <c r="H12" s="4" t="s">
        <v>2113</v>
      </c>
      <c r="I12" s="4" t="s">
        <v>2113</v>
      </c>
      <c r="J12" s="4" t="s">
        <v>2113</v>
      </c>
      <c r="AL12" s="4" t="s">
        <v>1093</v>
      </c>
      <c r="AM12" s="4" t="s">
        <v>522</v>
      </c>
      <c r="AN12" s="4" t="s">
        <v>522</v>
      </c>
      <c r="AO12" s="4" t="s">
        <v>522</v>
      </c>
      <c r="AP12" s="4" t="s">
        <v>2148</v>
      </c>
      <c r="AQ12" s="4" t="s">
        <v>2149</v>
      </c>
    </row>
    <row r="13" spans="1:43">
      <c r="A13" s="4">
        <v>39745</v>
      </c>
      <c r="B13" s="4" t="s">
        <v>2150</v>
      </c>
      <c r="C13" s="4" t="s">
        <v>2151</v>
      </c>
      <c r="D13" s="5" t="s">
        <v>2152</v>
      </c>
      <c r="E13" s="16" t="str">
        <f>HYPERLINK("https://stat100.ameba.jp/tnk47/ratio20/illustrations/card/ill_39745_baku05.jpg", "■")</f>
        <v>■</v>
      </c>
      <c r="F13" s="4" t="s">
        <v>2153</v>
      </c>
      <c r="G13" s="4" t="s">
        <v>2113</v>
      </c>
      <c r="H13" s="4" t="s">
        <v>2113</v>
      </c>
      <c r="I13" s="4" t="s">
        <v>2113</v>
      </c>
      <c r="J13" s="4" t="s">
        <v>2113</v>
      </c>
      <c r="AL13" s="4" t="s">
        <v>1093</v>
      </c>
      <c r="AM13" s="4" t="s">
        <v>522</v>
      </c>
      <c r="AN13" s="4" t="s">
        <v>522</v>
      </c>
      <c r="AO13" s="4" t="s">
        <v>522</v>
      </c>
      <c r="AP13" s="4" t="s">
        <v>1399</v>
      </c>
      <c r="AQ13" s="4" t="s">
        <v>2154</v>
      </c>
    </row>
    <row r="14" spans="1:43">
      <c r="A14" s="4">
        <v>42675</v>
      </c>
      <c r="B14" s="4" t="s">
        <v>2150</v>
      </c>
      <c r="C14" s="4" t="s">
        <v>209</v>
      </c>
      <c r="D14" s="5" t="s">
        <v>2155</v>
      </c>
      <c r="E14" s="16" t="str">
        <f>HYPERLINK("https://stat100.ameba.jp/tnk47/ratio20/illustrations/card/ill_42675_karakurigiemon05.jpg", "■")</f>
        <v>■</v>
      </c>
      <c r="F14" s="4" t="s">
        <v>2156</v>
      </c>
      <c r="G14" s="4" t="s">
        <v>2113</v>
      </c>
      <c r="H14" s="4" t="s">
        <v>2113</v>
      </c>
      <c r="I14" s="4" t="s">
        <v>2113</v>
      </c>
      <c r="J14" s="4" t="s">
        <v>2113</v>
      </c>
      <c r="AL14" s="4" t="s">
        <v>1093</v>
      </c>
      <c r="AM14" s="4" t="s">
        <v>522</v>
      </c>
      <c r="AN14" s="4" t="s">
        <v>522</v>
      </c>
      <c r="AO14" s="4" t="s">
        <v>522</v>
      </c>
      <c r="AP14" s="4" t="s">
        <v>2157</v>
      </c>
      <c r="AQ14" s="4" t="s">
        <v>2158</v>
      </c>
    </row>
    <row r="15" spans="1:43">
      <c r="A15" s="4">
        <v>44065</v>
      </c>
      <c r="B15" s="4" t="s">
        <v>1863</v>
      </c>
      <c r="C15" s="4" t="s">
        <v>308</v>
      </c>
      <c r="D15" s="5" t="s">
        <v>2159</v>
      </c>
      <c r="E15" s="16" t="str">
        <f>HYPERLINK("https://stat100.ameba.jp/tnk47/ratio20/illustrations/card/ill_44065_yododono05.jpg", "■")</f>
        <v>■</v>
      </c>
      <c r="F15" s="4" t="s">
        <v>2160</v>
      </c>
      <c r="G15" s="4" t="s">
        <v>2113</v>
      </c>
      <c r="H15" s="4" t="s">
        <v>2113</v>
      </c>
      <c r="I15" s="4" t="s">
        <v>2113</v>
      </c>
      <c r="J15" s="4" t="s">
        <v>2113</v>
      </c>
      <c r="K15" s="4" t="s">
        <v>2113</v>
      </c>
      <c r="AL15" s="4" t="s">
        <v>1093</v>
      </c>
      <c r="AM15" s="4" t="s">
        <v>522</v>
      </c>
      <c r="AN15" s="4" t="s">
        <v>522</v>
      </c>
      <c r="AO15" s="4" t="s">
        <v>522</v>
      </c>
      <c r="AP15" s="4" t="s">
        <v>2161</v>
      </c>
      <c r="AQ15" s="4" t="s">
        <v>2162</v>
      </c>
    </row>
    <row r="16" spans="1:43">
      <c r="A16" s="4">
        <v>44075</v>
      </c>
      <c r="B16" s="4" t="s">
        <v>1863</v>
      </c>
      <c r="C16" s="4" t="s">
        <v>209</v>
      </c>
      <c r="D16" s="5" t="s">
        <v>2163</v>
      </c>
      <c r="E16" s="16" t="str">
        <f>HYPERLINK("https://stat100.ameba.jp/tnk47/ratio20/illustrations/card/ill_44075_saicho05.jpg", "■")</f>
        <v>■</v>
      </c>
      <c r="F16" s="4" t="s">
        <v>2164</v>
      </c>
      <c r="G16" s="4" t="s">
        <v>2113</v>
      </c>
      <c r="H16" s="4" t="s">
        <v>2113</v>
      </c>
      <c r="I16" s="4" t="s">
        <v>2113</v>
      </c>
      <c r="J16" s="4" t="s">
        <v>2113</v>
      </c>
      <c r="K16" s="4" t="s">
        <v>2113</v>
      </c>
      <c r="AL16" s="4" t="s">
        <v>1093</v>
      </c>
      <c r="AM16" s="4" t="s">
        <v>522</v>
      </c>
      <c r="AN16" s="4" t="s">
        <v>522</v>
      </c>
      <c r="AO16" s="4" t="s">
        <v>522</v>
      </c>
      <c r="AP16" s="4" t="s">
        <v>1404</v>
      </c>
      <c r="AQ16" s="4" t="s">
        <v>2165</v>
      </c>
    </row>
    <row r="17" spans="1:43">
      <c r="A17" s="4">
        <v>45055</v>
      </c>
      <c r="B17" s="4" t="s">
        <v>2150</v>
      </c>
      <c r="C17" s="4" t="s">
        <v>235</v>
      </c>
      <c r="D17" s="5" t="s">
        <v>2166</v>
      </c>
      <c r="E17" s="16" t="str">
        <f>HYPERLINK("https://stat100.ameba.jp/tnk47/ratio20/illustrations/card/ill_45055_ikkitosemmaedakeiji05.jpg", "■")</f>
        <v>■</v>
      </c>
      <c r="F17" s="4" t="s">
        <v>2167</v>
      </c>
      <c r="G17" s="4" t="s">
        <v>2113</v>
      </c>
      <c r="H17" s="4" t="s">
        <v>2113</v>
      </c>
      <c r="I17" s="4" t="s">
        <v>2113</v>
      </c>
      <c r="J17" s="4" t="s">
        <v>2113</v>
      </c>
      <c r="K17" s="4" t="s">
        <v>2113</v>
      </c>
      <c r="AL17" s="4" t="s">
        <v>1093</v>
      </c>
      <c r="AM17" s="4" t="s">
        <v>522</v>
      </c>
      <c r="AN17" s="4" t="s">
        <v>522</v>
      </c>
      <c r="AO17" s="4" t="s">
        <v>522</v>
      </c>
      <c r="AP17" s="4" t="s">
        <v>2168</v>
      </c>
      <c r="AQ17" s="4" t="s">
        <v>2169</v>
      </c>
    </row>
    <row r="18" spans="1:43">
      <c r="A18" s="4">
        <v>45065</v>
      </c>
      <c r="B18" s="4" t="s">
        <v>2150</v>
      </c>
      <c r="C18" s="4" t="s">
        <v>302</v>
      </c>
      <c r="D18" s="5" t="s">
        <v>2170</v>
      </c>
      <c r="E18" s="16" t="str">
        <f>HYPERLINK("https://stat100.ameba.jp/tnk47/ratio20/illustrations/card/ill_45065_nekogami05.jpg", "■")</f>
        <v>■</v>
      </c>
      <c r="F18" s="4" t="s">
        <v>2171</v>
      </c>
      <c r="G18" s="4" t="s">
        <v>2113</v>
      </c>
      <c r="H18" s="4" t="s">
        <v>2113</v>
      </c>
      <c r="I18" s="4" t="s">
        <v>2113</v>
      </c>
      <c r="J18" s="4" t="s">
        <v>2113</v>
      </c>
      <c r="K18" s="4" t="s">
        <v>2113</v>
      </c>
      <c r="AL18" s="4" t="s">
        <v>1093</v>
      </c>
      <c r="AM18" s="4" t="s">
        <v>522</v>
      </c>
      <c r="AN18" s="4" t="s">
        <v>522</v>
      </c>
      <c r="AO18" s="4" t="s">
        <v>522</v>
      </c>
      <c r="AP18" s="4" t="s">
        <v>2172</v>
      </c>
      <c r="AQ18" s="4" t="s">
        <v>2173</v>
      </c>
    </row>
    <row r="19" spans="1:43">
      <c r="A19" s="4">
        <v>46015</v>
      </c>
      <c r="B19" s="4" t="s">
        <v>2174</v>
      </c>
      <c r="C19" s="4" t="s">
        <v>216</v>
      </c>
      <c r="D19" s="5" t="s">
        <v>2175</v>
      </c>
      <c r="E19" s="16" t="str">
        <f>HYPERLINK("https://stat100.ameba.jp/tnk47/ratio20/illustrations/card/ill_46015_yamatonadeshiko05.jpg", "■")</f>
        <v>■</v>
      </c>
      <c r="F19" s="4" t="s">
        <v>2176</v>
      </c>
      <c r="G19" s="4" t="s">
        <v>2113</v>
      </c>
      <c r="H19" s="4" t="s">
        <v>2113</v>
      </c>
      <c r="I19" s="4" t="s">
        <v>2113</v>
      </c>
      <c r="J19" s="4" t="s">
        <v>2113</v>
      </c>
      <c r="K19" s="4" t="s">
        <v>2113</v>
      </c>
      <c r="L19" s="4" t="s">
        <v>2113</v>
      </c>
      <c r="AL19" s="4" t="s">
        <v>1093</v>
      </c>
      <c r="AM19" s="4" t="s">
        <v>522</v>
      </c>
      <c r="AN19" s="4" t="s">
        <v>522</v>
      </c>
      <c r="AO19" s="4" t="s">
        <v>522</v>
      </c>
      <c r="AP19" s="4" t="s">
        <v>2177</v>
      </c>
      <c r="AQ19" s="4" t="s">
        <v>2477</v>
      </c>
    </row>
    <row r="20" spans="1:43">
      <c r="A20" s="4">
        <v>46635</v>
      </c>
      <c r="B20" s="4" t="s">
        <v>1470</v>
      </c>
      <c r="C20" s="4" t="s">
        <v>381</v>
      </c>
      <c r="D20" s="5" t="s">
        <v>2178</v>
      </c>
      <c r="E20" s="16" t="str">
        <f>HYPERLINK("https://stat100.ameba.jp/tnk47/ratio20/illustrations/card/ill_46635_chushingura05.jpg", "■")</f>
        <v>■</v>
      </c>
      <c r="F20" s="4" t="s">
        <v>2179</v>
      </c>
      <c r="G20" s="4" t="s">
        <v>2113</v>
      </c>
      <c r="H20" s="4" t="s">
        <v>2113</v>
      </c>
      <c r="I20" s="4" t="s">
        <v>2113</v>
      </c>
      <c r="J20" s="4" t="s">
        <v>2113</v>
      </c>
      <c r="K20" s="4" t="s">
        <v>2113</v>
      </c>
      <c r="L20" s="4" t="s">
        <v>2113</v>
      </c>
      <c r="AL20" s="4" t="s">
        <v>1093</v>
      </c>
      <c r="AM20" s="4" t="s">
        <v>522</v>
      </c>
      <c r="AN20" s="4" t="s">
        <v>522</v>
      </c>
      <c r="AO20" s="4" t="s">
        <v>522</v>
      </c>
      <c r="AP20" s="4" t="s">
        <v>2180</v>
      </c>
      <c r="AQ20" s="4" t="s">
        <v>2181</v>
      </c>
    </row>
    <row r="21" spans="1:43">
      <c r="A21" s="4">
        <v>45635</v>
      </c>
      <c r="B21" s="4" t="s">
        <v>1470</v>
      </c>
      <c r="C21" s="4" t="s">
        <v>468</v>
      </c>
      <c r="D21" s="5" t="s">
        <v>2182</v>
      </c>
      <c r="E21" s="16" t="str">
        <f>HYPERLINK("https://stat100.ameba.jp/tnk47/ratio20/illustrations/card/ill_45635_azumatoyo05.jpg", "■")</f>
        <v>■</v>
      </c>
      <c r="F21" s="4" t="s">
        <v>2183</v>
      </c>
      <c r="G21" s="4" t="s">
        <v>2113</v>
      </c>
      <c r="H21" s="4" t="s">
        <v>2113</v>
      </c>
      <c r="I21" s="4" t="s">
        <v>2113</v>
      </c>
      <c r="J21" s="4" t="s">
        <v>2113</v>
      </c>
      <c r="K21" s="4" t="s">
        <v>2113</v>
      </c>
      <c r="L21" s="4" t="s">
        <v>2113</v>
      </c>
      <c r="AL21" s="4" t="s">
        <v>1093</v>
      </c>
      <c r="AM21" s="4" t="s">
        <v>522</v>
      </c>
      <c r="AN21" s="4" t="s">
        <v>522</v>
      </c>
      <c r="AO21" s="4" t="s">
        <v>522</v>
      </c>
      <c r="AP21" s="4" t="s">
        <v>2184</v>
      </c>
      <c r="AQ21" s="4" t="s">
        <v>2188</v>
      </c>
    </row>
    <row r="22" spans="1:43">
      <c r="A22" s="4">
        <v>47725</v>
      </c>
      <c r="B22" s="4" t="s">
        <v>2185</v>
      </c>
      <c r="C22" s="4" t="s">
        <v>357</v>
      </c>
      <c r="D22" s="5" t="s">
        <v>2186</v>
      </c>
      <c r="E22" s="16" t="str">
        <f>HYPERLINK("https://stat100.ameba.jp/tnk47/ratio20/illustrations/card/ill_47725_omikichan05.jpg", "■")</f>
        <v>■</v>
      </c>
      <c r="F22" s="4" t="s">
        <v>2187</v>
      </c>
      <c r="G22" s="4" t="s">
        <v>2113</v>
      </c>
      <c r="H22" s="4" t="s">
        <v>2113</v>
      </c>
      <c r="I22" s="4" t="s">
        <v>2113</v>
      </c>
      <c r="J22" s="4" t="s">
        <v>2113</v>
      </c>
      <c r="K22" s="4" t="s">
        <v>2113</v>
      </c>
      <c r="L22" s="4" t="s">
        <v>2113</v>
      </c>
      <c r="AL22" s="4" t="s">
        <v>1093</v>
      </c>
      <c r="AM22" s="4" t="s">
        <v>522</v>
      </c>
      <c r="AN22" s="4" t="s">
        <v>522</v>
      </c>
      <c r="AO22" s="4" t="s">
        <v>522</v>
      </c>
      <c r="AP22" s="4" t="s">
        <v>1414</v>
      </c>
      <c r="AQ22" s="4" t="s">
        <v>2188</v>
      </c>
    </row>
    <row r="23" spans="1:43">
      <c r="A23" s="4">
        <v>48405</v>
      </c>
      <c r="B23" s="4" t="s">
        <v>1357</v>
      </c>
      <c r="C23" s="4" t="s">
        <v>267</v>
      </c>
      <c r="D23" s="5" t="s">
        <v>1427</v>
      </c>
      <c r="E23" s="6" t="str">
        <f>HYPERLINK("https://stat100.ameba.jp/tnk47/ratio20/illustrations/card/ill_48405_ashura05.jpg", "■")</f>
        <v>■</v>
      </c>
      <c r="F23" s="4" t="s">
        <v>1428</v>
      </c>
      <c r="G23" s="4" t="s">
        <v>2113</v>
      </c>
      <c r="H23" s="4" t="s">
        <v>2113</v>
      </c>
      <c r="I23" s="4" t="s">
        <v>2113</v>
      </c>
      <c r="J23" s="4" t="s">
        <v>2113</v>
      </c>
      <c r="K23" s="4" t="s">
        <v>2113</v>
      </c>
      <c r="L23" s="4" t="s">
        <v>2113</v>
      </c>
      <c r="M23" s="4" t="s">
        <v>2113</v>
      </c>
      <c r="AK23" s="4" t="str">
        <f>'5進化ガチャ'!U4</f>
        <v>ー</v>
      </c>
      <c r="AL23" s="4" t="s">
        <v>1093</v>
      </c>
      <c r="AM23" s="4" t="s">
        <v>522</v>
      </c>
      <c r="AN23" s="4" t="s">
        <v>522</v>
      </c>
      <c r="AO23" s="4" t="s">
        <v>522</v>
      </c>
      <c r="AP23" s="4" t="s">
        <v>1431</v>
      </c>
      <c r="AQ23" s="10" t="s">
        <v>1432</v>
      </c>
    </row>
    <row r="24" spans="1:43">
      <c r="A24" s="4">
        <v>48415</v>
      </c>
      <c r="B24" s="4" t="s">
        <v>1448</v>
      </c>
      <c r="C24" s="4" t="s">
        <v>330</v>
      </c>
      <c r="D24" s="5" t="s">
        <v>1449</v>
      </c>
      <c r="E24" s="6" t="str">
        <f>HYPERLINK("https://stat100.ameba.jp/tnk47/ratio20/illustrations/card/ill_48415_kourinkoujokazunomiya05.jpg", "■")</f>
        <v>■</v>
      </c>
      <c r="F24" s="4" t="s">
        <v>1450</v>
      </c>
      <c r="G24" s="4" t="s">
        <v>2113</v>
      </c>
      <c r="H24" s="4" t="s">
        <v>2113</v>
      </c>
      <c r="I24" s="4" t="s">
        <v>2113</v>
      </c>
      <c r="J24" s="4" t="s">
        <v>2113</v>
      </c>
      <c r="K24" s="4" t="s">
        <v>2113</v>
      </c>
      <c r="L24" s="4" t="s">
        <v>2113</v>
      </c>
      <c r="M24" s="4" t="s">
        <v>2113</v>
      </c>
      <c r="AK24" s="4" t="str">
        <f>'5進化ガチャ'!U7</f>
        <v>ー</v>
      </c>
      <c r="AL24" s="4" t="s">
        <v>1093</v>
      </c>
      <c r="AM24" s="4" t="s">
        <v>522</v>
      </c>
      <c r="AN24" s="4" t="s">
        <v>522</v>
      </c>
      <c r="AO24" s="4" t="s">
        <v>522</v>
      </c>
      <c r="AP24" s="4" t="s">
        <v>1451</v>
      </c>
      <c r="AQ24" s="4" t="s">
        <v>2189</v>
      </c>
    </row>
    <row r="25" spans="1:43">
      <c r="A25" s="4">
        <v>49345</v>
      </c>
      <c r="B25" s="4" t="s">
        <v>1448</v>
      </c>
      <c r="C25" s="4" t="s">
        <v>272</v>
      </c>
      <c r="D25" s="5" t="s">
        <v>1459</v>
      </c>
      <c r="E25" s="6" t="str">
        <f>HYPERLINK("https://stat100.ameba.jp/tnk47/ratio20/illustrations/card/ill_49345_karakauaou05.jpg", "■")</f>
        <v>■</v>
      </c>
      <c r="F25" s="4" t="s">
        <v>1460</v>
      </c>
      <c r="H25" s="4" t="s">
        <v>2113</v>
      </c>
      <c r="I25" s="4" t="s">
        <v>2113</v>
      </c>
      <c r="J25" s="4" t="s">
        <v>2113</v>
      </c>
      <c r="K25" s="4" t="s">
        <v>2113</v>
      </c>
      <c r="L25" s="4" t="s">
        <v>2113</v>
      </c>
      <c r="M25" s="4" t="s">
        <v>2113</v>
      </c>
      <c r="AK25" s="4" t="str">
        <f>'5進化ガチャ'!U9</f>
        <v>9+9</v>
      </c>
      <c r="AL25" s="4" t="s">
        <v>1093</v>
      </c>
      <c r="AM25" s="4" t="s">
        <v>522</v>
      </c>
      <c r="AN25" s="4" t="s">
        <v>522</v>
      </c>
      <c r="AO25" s="4" t="s">
        <v>522</v>
      </c>
      <c r="AP25" s="4" t="s">
        <v>1463</v>
      </c>
      <c r="AQ25" s="4" t="s">
        <v>2190</v>
      </c>
    </row>
    <row r="26" spans="1:43">
      <c r="A26" s="4">
        <v>49355</v>
      </c>
      <c r="B26" s="4" t="s">
        <v>1357</v>
      </c>
      <c r="C26" s="4" t="s">
        <v>381</v>
      </c>
      <c r="D26" s="5" t="s">
        <v>1442</v>
      </c>
      <c r="E26" s="6" t="str">
        <f>HYPERLINK("https://stat100.ameba.jp/tnk47/ratio20/illustrations/card/ill_49355_choujyuugiga05.jpg", "■")</f>
        <v>■</v>
      </c>
      <c r="F26" s="4" t="s">
        <v>1443</v>
      </c>
      <c r="H26" s="4" t="s">
        <v>2113</v>
      </c>
      <c r="I26" s="4" t="s">
        <v>2113</v>
      </c>
      <c r="J26" s="4" t="s">
        <v>2113</v>
      </c>
      <c r="K26" s="4" t="s">
        <v>2113</v>
      </c>
      <c r="L26" s="4" t="s">
        <v>2113</v>
      </c>
      <c r="M26" s="4" t="s">
        <v>2113</v>
      </c>
      <c r="AK26" s="4" t="str">
        <f>'5進化ガチャ'!U6</f>
        <v>19+竜+竜+竜+(16(↑17)+14+14+14+(14+13+13+13+13),13,13,13,13)</v>
      </c>
      <c r="AL26" s="4" t="s">
        <v>1354</v>
      </c>
      <c r="AM26" s="4">
        <v>21</v>
      </c>
      <c r="AN26" s="4">
        <v>94798</v>
      </c>
      <c r="AO26" s="4">
        <v>72619</v>
      </c>
      <c r="AP26" s="4" t="s">
        <v>1445</v>
      </c>
      <c r="AQ26" s="4" t="s">
        <v>2191</v>
      </c>
    </row>
    <row r="27" spans="1:43">
      <c r="A27" s="4">
        <v>47715</v>
      </c>
      <c r="B27" s="4" t="s">
        <v>1448</v>
      </c>
      <c r="C27" s="4" t="s">
        <v>272</v>
      </c>
      <c r="D27" s="5" t="s">
        <v>1454</v>
      </c>
      <c r="E27" s="6" t="str">
        <f>HYPERLINK("https://stat100.ameba.jp/tnk47/ratio20/illustrations/card/ill_47715_tokugawatunayoshi05.jpg", "■")</f>
        <v>■</v>
      </c>
      <c r="F27" s="4" t="s">
        <v>1455</v>
      </c>
      <c r="I27" s="4" t="s">
        <v>2113</v>
      </c>
      <c r="J27" s="4" t="s">
        <v>2113</v>
      </c>
      <c r="K27" s="4" t="s">
        <v>2113</v>
      </c>
      <c r="L27" s="4" t="s">
        <v>2113</v>
      </c>
      <c r="M27" s="4" t="s">
        <v>2113</v>
      </c>
      <c r="AK27" s="4" t="str">
        <f>'5進化ガチャ'!U8</f>
        <v>16+竜+竜+14+16</v>
      </c>
      <c r="AL27" s="4" t="s">
        <v>1354</v>
      </c>
      <c r="AM27" s="4">
        <v>21</v>
      </c>
      <c r="AN27" s="4">
        <v>72619</v>
      </c>
      <c r="AO27" s="4">
        <v>94798</v>
      </c>
      <c r="AP27" s="4" t="s">
        <v>1457</v>
      </c>
      <c r="AQ27" s="4" t="s">
        <v>2192</v>
      </c>
    </row>
    <row r="28" spans="1:43">
      <c r="A28" s="4">
        <v>50275</v>
      </c>
      <c r="B28" s="4" t="s">
        <v>1448</v>
      </c>
      <c r="C28" s="4" t="s">
        <v>381</v>
      </c>
      <c r="D28" s="5" t="s">
        <v>1471</v>
      </c>
      <c r="E28" s="6" t="str">
        <f>HYPERLINK("https://stat100.ameba.jp/tnk47/ratio20/illustrations/card/ill_50275_hanasakamusume05.jpg", "■")</f>
        <v>■</v>
      </c>
      <c r="F28" s="4" t="s">
        <v>1472</v>
      </c>
      <c r="I28" s="4" t="s">
        <v>2113</v>
      </c>
      <c r="J28" s="4" t="s">
        <v>2113</v>
      </c>
      <c r="K28" s="4" t="s">
        <v>2113</v>
      </c>
      <c r="L28" s="4" t="s">
        <v>2113</v>
      </c>
      <c r="M28" s="4" t="s">
        <v>2113</v>
      </c>
      <c r="AK28" s="4" t="str">
        <f>'5進化ガチャ'!U11</f>
        <v>ー</v>
      </c>
      <c r="AL28" s="4" t="s">
        <v>1093</v>
      </c>
      <c r="AM28" s="4" t="s">
        <v>522</v>
      </c>
      <c r="AN28" s="4" t="s">
        <v>522</v>
      </c>
      <c r="AO28" s="4" t="s">
        <v>522</v>
      </c>
      <c r="AP28" s="4" t="s">
        <v>1473</v>
      </c>
      <c r="AQ28" s="4" t="s">
        <v>2193</v>
      </c>
    </row>
    <row r="29" spans="1:43">
      <c r="A29" s="4">
        <v>50265</v>
      </c>
      <c r="B29" s="4" t="s">
        <v>2194</v>
      </c>
      <c r="C29" s="4" t="s">
        <v>216</v>
      </c>
      <c r="D29" s="5" t="s">
        <v>1466</v>
      </c>
      <c r="E29" s="6" t="str">
        <f>HYPERLINK("https://stat100.ameba.jp/tnk47/ratio20/illustrations/card/ill_50265_himetemari05.jpg", "■")</f>
        <v>■</v>
      </c>
      <c r="F29" s="4" t="s">
        <v>1467</v>
      </c>
      <c r="I29" s="4" t="s">
        <v>2113</v>
      </c>
      <c r="J29" s="4" t="s">
        <v>2113</v>
      </c>
      <c r="K29" s="4" t="s">
        <v>2113</v>
      </c>
      <c r="L29" s="4" t="s">
        <v>2113</v>
      </c>
      <c r="M29" s="4" t="s">
        <v>2113</v>
      </c>
      <c r="N29" s="4" t="s">
        <v>2113</v>
      </c>
      <c r="AK29" s="4" t="str">
        <f>'5進化ガチャ'!U10</f>
        <v>ー</v>
      </c>
      <c r="AL29" s="4" t="s">
        <v>1093</v>
      </c>
      <c r="AM29" s="4" t="s">
        <v>522</v>
      </c>
      <c r="AN29" s="4" t="s">
        <v>522</v>
      </c>
      <c r="AO29" s="4" t="s">
        <v>522</v>
      </c>
      <c r="AP29" s="4" t="s">
        <v>1468</v>
      </c>
      <c r="AQ29" s="4" t="s">
        <v>2428</v>
      </c>
    </row>
    <row r="30" spans="1:43">
      <c r="A30" s="4">
        <v>50935</v>
      </c>
      <c r="B30" s="4" t="s">
        <v>1448</v>
      </c>
      <c r="C30" s="4" t="s">
        <v>272</v>
      </c>
      <c r="D30" s="5" t="s">
        <v>1476</v>
      </c>
      <c r="E30" s="6" t="str">
        <f>HYPERLINK("https://stat100.ameba.jp/tnk47/ratio20/illustrations/card/ill_50935_ogurikozukenosuke05.jpg", "■")</f>
        <v>■</v>
      </c>
      <c r="F30" s="4" t="s">
        <v>1477</v>
      </c>
      <c r="I30" s="4" t="s">
        <v>2113</v>
      </c>
      <c r="J30" s="4" t="s">
        <v>2113</v>
      </c>
      <c r="K30" s="4" t="s">
        <v>2113</v>
      </c>
      <c r="L30" s="4" t="s">
        <v>2113</v>
      </c>
      <c r="M30" s="4" t="s">
        <v>2113</v>
      </c>
      <c r="N30" s="4" t="s">
        <v>2113</v>
      </c>
      <c r="AK30" s="4" t="str">
        <f>'5進化ガチャ'!U12</f>
        <v>ー</v>
      </c>
      <c r="AL30" s="4" t="s">
        <v>1093</v>
      </c>
      <c r="AM30" s="4" t="s">
        <v>522</v>
      </c>
      <c r="AN30" s="4" t="s">
        <v>522</v>
      </c>
      <c r="AO30" s="4" t="s">
        <v>522</v>
      </c>
      <c r="AP30" s="4" t="s">
        <v>1479</v>
      </c>
      <c r="AQ30" s="10" t="s">
        <v>1480</v>
      </c>
    </row>
    <row r="31" spans="1:43">
      <c r="A31" s="4">
        <v>50925</v>
      </c>
      <c r="B31" s="4" t="s">
        <v>2194</v>
      </c>
      <c r="C31" s="4" t="s">
        <v>357</v>
      </c>
      <c r="D31" s="5" t="s">
        <v>1482</v>
      </c>
      <c r="E31" s="6" t="str">
        <f>HYPERLINK("https://stat100.ameba.jp/tnk47/ratio20/illustrations/card/ill_50925_katsuonotataki05.jpg", "■")</f>
        <v>■</v>
      </c>
      <c r="F31" s="4" t="s">
        <v>1483</v>
      </c>
      <c r="J31" s="4" t="s">
        <v>2113</v>
      </c>
      <c r="K31" s="4" t="s">
        <v>2113</v>
      </c>
      <c r="L31" s="4" t="s">
        <v>2113</v>
      </c>
      <c r="M31" s="4" t="s">
        <v>2113</v>
      </c>
      <c r="N31" s="4" t="s">
        <v>2113</v>
      </c>
      <c r="AK31" s="4" t="str">
        <f>'5進化ガチャ'!U13</f>
        <v>ー</v>
      </c>
      <c r="AL31" s="4" t="s">
        <v>1093</v>
      </c>
      <c r="AM31" s="4" t="s">
        <v>522</v>
      </c>
      <c r="AN31" s="4" t="s">
        <v>522</v>
      </c>
      <c r="AO31" s="4" t="s">
        <v>522</v>
      </c>
      <c r="AP31" s="4" t="s">
        <v>1484</v>
      </c>
      <c r="AQ31" s="4" t="s">
        <v>2195</v>
      </c>
    </row>
    <row r="32" spans="1:43">
      <c r="A32" s="4">
        <v>52015</v>
      </c>
      <c r="B32" s="4" t="s">
        <v>1486</v>
      </c>
      <c r="C32" s="4" t="s">
        <v>267</v>
      </c>
      <c r="D32" s="5" t="s">
        <v>1487</v>
      </c>
      <c r="E32" s="6" t="str">
        <f>HYPERLINK("https://stat100.ameba.jp/tnk47/ratio20/illustrations/card/ill_52015_kuzuryuomikami05.jpg", "■")</f>
        <v>■</v>
      </c>
      <c r="F32" s="4" t="s">
        <v>1488</v>
      </c>
      <c r="J32" s="4" t="s">
        <v>2113</v>
      </c>
      <c r="K32" s="4" t="s">
        <v>2113</v>
      </c>
      <c r="L32" s="4" t="s">
        <v>2113</v>
      </c>
      <c r="M32" s="4" t="s">
        <v>2113</v>
      </c>
      <c r="N32" s="4" t="s">
        <v>2113</v>
      </c>
      <c r="O32" s="4" t="s">
        <v>2113</v>
      </c>
      <c r="AK32" s="4" t="str">
        <f>'5進化ガチャ'!U14</f>
        <v>18+竜+竜+15+(16+?+?+?+?)</v>
      </c>
      <c r="AL32" s="4" t="s">
        <v>1354</v>
      </c>
      <c r="AM32" s="4">
        <v>21</v>
      </c>
      <c r="AN32" s="4">
        <v>72619</v>
      </c>
      <c r="AO32" s="4">
        <v>94798</v>
      </c>
      <c r="AP32" s="4" t="s">
        <v>1490</v>
      </c>
      <c r="AQ32" s="4" t="s">
        <v>2196</v>
      </c>
    </row>
    <row r="33" spans="1:43">
      <c r="A33" s="4">
        <v>52005</v>
      </c>
      <c r="B33" s="4" t="s">
        <v>1357</v>
      </c>
      <c r="C33" s="4" t="s">
        <v>89</v>
      </c>
      <c r="D33" s="5" t="s">
        <v>1492</v>
      </c>
      <c r="E33" s="6" t="str">
        <f>HYPERLINK("https://stat100.ameba.jp/tnk47/ratio20/illustrations/card/ill_52005_okubotoshimichi05.jpg", "■")</f>
        <v>■</v>
      </c>
      <c r="F33" s="4" t="s">
        <v>1493</v>
      </c>
      <c r="K33" s="4" t="s">
        <v>2113</v>
      </c>
      <c r="L33" s="4" t="s">
        <v>2113</v>
      </c>
      <c r="M33" s="4" t="s">
        <v>2113</v>
      </c>
      <c r="N33" s="4" t="s">
        <v>2113</v>
      </c>
      <c r="O33" s="4" t="s">
        <v>2113</v>
      </c>
      <c r="AK33" s="4" t="str">
        <f>'5進化ガチャ'!U15</f>
        <v>ー</v>
      </c>
      <c r="AL33" s="4" t="s">
        <v>1093</v>
      </c>
      <c r="AM33" s="4" t="s">
        <v>522</v>
      </c>
      <c r="AN33" s="4" t="s">
        <v>522</v>
      </c>
      <c r="AO33" s="4" t="s">
        <v>522</v>
      </c>
      <c r="AP33" s="4" t="s">
        <v>1494</v>
      </c>
      <c r="AQ33" s="4" t="s">
        <v>2197</v>
      </c>
    </row>
    <row r="34" spans="1:43">
      <c r="A34" s="4">
        <v>50605</v>
      </c>
      <c r="B34" s="4" t="s">
        <v>1357</v>
      </c>
      <c r="C34" s="4" t="s">
        <v>84</v>
      </c>
      <c r="D34" s="5" t="s">
        <v>1497</v>
      </c>
      <c r="E34" s="6" t="str">
        <f>HYPERLINK("https://stat100.ameba.jp/tnk47/ratio20/illustrations/card/ill_50605_yambarukuina05.jpg", "■")</f>
        <v>■</v>
      </c>
      <c r="F34" s="4" t="s">
        <v>1498</v>
      </c>
      <c r="K34" s="4" t="s">
        <v>2113</v>
      </c>
      <c r="L34" s="4" t="s">
        <v>2113</v>
      </c>
      <c r="M34" s="4" t="s">
        <v>2113</v>
      </c>
      <c r="N34" s="4" t="s">
        <v>2113</v>
      </c>
      <c r="O34" s="4" t="s">
        <v>2113</v>
      </c>
      <c r="AK34" s="4" t="str">
        <f>'5進化ガチャ'!U16</f>
        <v>ー</v>
      </c>
      <c r="AL34" s="4" t="s">
        <v>1093</v>
      </c>
      <c r="AM34" s="4" t="s">
        <v>522</v>
      </c>
      <c r="AN34" s="4" t="s">
        <v>522</v>
      </c>
      <c r="AO34" s="4" t="s">
        <v>522</v>
      </c>
      <c r="AP34" s="4" t="s">
        <v>1499</v>
      </c>
      <c r="AQ34" s="10" t="s">
        <v>1500</v>
      </c>
    </row>
    <row r="35" spans="1:43">
      <c r="A35" s="4">
        <v>53045</v>
      </c>
      <c r="B35" s="4" t="s">
        <v>1470</v>
      </c>
      <c r="C35" s="4" t="s">
        <v>295</v>
      </c>
      <c r="D35" s="5" t="s">
        <v>1502</v>
      </c>
      <c r="E35" s="6" t="str">
        <f>HYPERLINK("https://stat100.ameba.jp/tnk47/ratio20/illustrations/card/ill_53045_ashikagachachamaru05.jpg", "■")</f>
        <v>■</v>
      </c>
      <c r="F35" s="4" t="s">
        <v>1503</v>
      </c>
      <c r="K35" s="4" t="s">
        <v>2113</v>
      </c>
      <c r="L35" s="4" t="s">
        <v>2113</v>
      </c>
      <c r="M35" s="4" t="s">
        <v>2113</v>
      </c>
      <c r="N35" s="4" t="s">
        <v>2113</v>
      </c>
      <c r="O35" s="4" t="s">
        <v>2113</v>
      </c>
      <c r="P35" s="4" t="s">
        <v>2113</v>
      </c>
      <c r="AK35" s="4" t="str">
        <f>'5進化ガチャ'!U17</f>
        <v>19(↑3進後+2)+?+?+?+?,15,15,15,15</v>
      </c>
      <c r="AL35" s="4" t="s">
        <v>1093</v>
      </c>
      <c r="AM35" s="4">
        <v>9</v>
      </c>
      <c r="AN35" s="4">
        <v>53351</v>
      </c>
      <c r="AO35" s="4">
        <v>32251</v>
      </c>
      <c r="AP35" s="4" t="s">
        <v>1505</v>
      </c>
      <c r="AQ35" s="4" t="s">
        <v>2198</v>
      </c>
    </row>
    <row r="36" spans="1:43">
      <c r="A36" s="4">
        <v>54115</v>
      </c>
      <c r="B36" s="4" t="s">
        <v>1448</v>
      </c>
      <c r="C36" s="4" t="s">
        <v>330</v>
      </c>
      <c r="D36" s="5" t="s">
        <v>1507</v>
      </c>
      <c r="E36" s="6" t="str">
        <f>HYPERLINK("https://stat100.ameba.jp/tnk47/ratio20/illustrations/card/ill_54115_senkiaoigozen05.jpg", "■")</f>
        <v>■</v>
      </c>
      <c r="F36" s="4" t="s">
        <v>1508</v>
      </c>
      <c r="L36" s="4" t="s">
        <v>2113</v>
      </c>
      <c r="M36" s="4" t="s">
        <v>2113</v>
      </c>
      <c r="N36" s="4" t="s">
        <v>2113</v>
      </c>
      <c r="O36" s="4" t="s">
        <v>2113</v>
      </c>
      <c r="P36" s="4" t="s">
        <v>2113</v>
      </c>
      <c r="AK36" s="4" t="str">
        <f>'5進化ガチャ'!U18</f>
        <v>15+竜+12+13+15</v>
      </c>
      <c r="AL36" s="4" t="s">
        <v>1354</v>
      </c>
      <c r="AM36" s="4" t="s">
        <v>522</v>
      </c>
      <c r="AN36" s="4" t="s">
        <v>522</v>
      </c>
      <c r="AO36" s="4" t="s">
        <v>522</v>
      </c>
      <c r="AP36" s="4" t="s">
        <v>1510</v>
      </c>
      <c r="AQ36" s="4" t="s">
        <v>1511</v>
      </c>
    </row>
    <row r="37" spans="1:43">
      <c r="A37" s="4">
        <v>54125</v>
      </c>
      <c r="B37" s="4" t="s">
        <v>1357</v>
      </c>
      <c r="C37" s="4" t="s">
        <v>468</v>
      </c>
      <c r="D37" s="5" t="s">
        <v>1513</v>
      </c>
      <c r="E37" s="6" t="str">
        <f>HYPERLINK("https://stat100.ameba.jp/tnk47/ratio20/illustrations/card/ill_54125_itojakuchu05.jpg", "■")</f>
        <v>■</v>
      </c>
      <c r="F37" s="4" t="s">
        <v>1514</v>
      </c>
      <c r="L37" s="4" t="s">
        <v>2113</v>
      </c>
      <c r="M37" s="4" t="s">
        <v>2113</v>
      </c>
      <c r="N37" s="4" t="s">
        <v>2113</v>
      </c>
      <c r="O37" s="4" t="s">
        <v>2113</v>
      </c>
      <c r="P37" s="4" t="s">
        <v>2113</v>
      </c>
      <c r="AK37" s="4" t="str">
        <f>'5進化ガチャ'!U19</f>
        <v>15+竜+竜+竜+15</v>
      </c>
      <c r="AL37" s="4" t="s">
        <v>1093</v>
      </c>
      <c r="AM37" s="4">
        <v>9</v>
      </c>
      <c r="AN37" s="4">
        <v>28437</v>
      </c>
      <c r="AO37" s="4">
        <v>37005</v>
      </c>
      <c r="AP37" s="4" t="s">
        <v>1516</v>
      </c>
      <c r="AQ37" s="4" t="s">
        <v>2199</v>
      </c>
    </row>
    <row r="38" spans="1:43">
      <c r="A38" s="4">
        <v>54795</v>
      </c>
      <c r="B38" s="4" t="s">
        <v>1357</v>
      </c>
      <c r="C38" s="4" t="s">
        <v>89</v>
      </c>
      <c r="D38" s="5" t="s">
        <v>1518</v>
      </c>
      <c r="E38" s="6" t="str">
        <f>HYPERLINK("https://stat100.ameba.jp/tnk47/ratio20/illustrations/card/ill_54795_taiseihokansaigotakamori05.jpg", "■")</f>
        <v>■</v>
      </c>
      <c r="F38" s="4" t="s">
        <v>1519</v>
      </c>
      <c r="L38" s="4" t="s">
        <v>2113</v>
      </c>
      <c r="M38" s="4" t="s">
        <v>2113</v>
      </c>
      <c r="N38" s="4" t="s">
        <v>2113</v>
      </c>
      <c r="O38" s="4" t="s">
        <v>2113</v>
      </c>
      <c r="P38" s="4" t="s">
        <v>2113</v>
      </c>
      <c r="Q38" s="4" t="s">
        <v>2113</v>
      </c>
      <c r="R38" s="4" t="s">
        <v>2113</v>
      </c>
      <c r="AK38" s="4" t="str">
        <f>'5進化ガチャ'!U20</f>
        <v>16+竜+竜+竜+15</v>
      </c>
      <c r="AL38" s="4" t="s">
        <v>1093</v>
      </c>
      <c r="AM38" s="4" t="s">
        <v>522</v>
      </c>
      <c r="AN38" s="4" t="s">
        <v>522</v>
      </c>
      <c r="AO38" s="4" t="s">
        <v>522</v>
      </c>
      <c r="AP38" s="4" t="s">
        <v>1521</v>
      </c>
      <c r="AQ38" s="4" t="s">
        <v>2200</v>
      </c>
    </row>
    <row r="39" spans="1:43">
      <c r="A39" s="4">
        <v>54805</v>
      </c>
      <c r="B39" s="4" t="s">
        <v>1448</v>
      </c>
      <c r="C39" s="4" t="s">
        <v>132</v>
      </c>
      <c r="D39" s="5" t="s">
        <v>1523</v>
      </c>
      <c r="E39" s="6" t="str">
        <f>HYPERLINK("https://stat100.ameba.jp/tnk47/ratio20/illustrations/card/ill_54805_onikojimayataro05.jpg", "■")</f>
        <v>■</v>
      </c>
      <c r="F39" s="4" t="s">
        <v>1524</v>
      </c>
      <c r="L39" s="4" t="s">
        <v>2113</v>
      </c>
      <c r="M39" s="4" t="s">
        <v>2113</v>
      </c>
      <c r="N39" s="4" t="s">
        <v>2113</v>
      </c>
      <c r="O39" s="4" t="s">
        <v>2113</v>
      </c>
      <c r="P39" s="4" t="s">
        <v>2113</v>
      </c>
      <c r="Q39" s="4" t="s">
        <v>2113</v>
      </c>
      <c r="R39" s="4" t="s">
        <v>2113</v>
      </c>
      <c r="AK39" s="4" t="e">
        <f>'5進化ガチャ'!#REF!</f>
        <v>#REF!</v>
      </c>
      <c r="AL39" s="4" t="s">
        <v>1093</v>
      </c>
      <c r="AM39" s="4">
        <v>9</v>
      </c>
      <c r="AN39" s="4">
        <v>37005</v>
      </c>
      <c r="AO39" s="4">
        <v>28437</v>
      </c>
      <c r="AP39" s="4" t="s">
        <v>1525</v>
      </c>
      <c r="AQ39" s="4" t="s">
        <v>2201</v>
      </c>
    </row>
    <row r="40" spans="1:43">
      <c r="A40" s="4">
        <v>55805</v>
      </c>
      <c r="B40" s="4" t="s">
        <v>1863</v>
      </c>
      <c r="C40" s="4" t="s">
        <v>235</v>
      </c>
      <c r="D40" s="5" t="s">
        <v>1527</v>
      </c>
      <c r="E40" s="6" t="str">
        <f>HYPERLINK("https://stat100.ameba.jp/tnk47/ratio20/illustrations/card/ill_55805_senninzukaashikagayoshiteru05.jpg", "■")</f>
        <v>■</v>
      </c>
      <c r="F40" s="4" t="s">
        <v>1528</v>
      </c>
      <c r="M40" s="4" t="s">
        <v>2113</v>
      </c>
      <c r="N40" s="4" t="s">
        <v>2113</v>
      </c>
      <c r="O40" s="4" t="s">
        <v>2113</v>
      </c>
      <c r="P40" s="4" t="s">
        <v>2113</v>
      </c>
      <c r="Q40" s="4" t="s">
        <v>2113</v>
      </c>
      <c r="R40" s="4" t="s">
        <v>2113</v>
      </c>
      <c r="AK40" s="4" t="str">
        <f>'5進化ガチャ'!U22</f>
        <v>16+竜+竜+竜+15</v>
      </c>
      <c r="AL40" s="4" t="s">
        <v>1354</v>
      </c>
      <c r="AM40" s="4" t="s">
        <v>522</v>
      </c>
      <c r="AN40" s="4" t="s">
        <v>522</v>
      </c>
      <c r="AO40" s="4" t="s">
        <v>522</v>
      </c>
      <c r="AP40" s="4" t="s">
        <v>1394</v>
      </c>
      <c r="AQ40" s="4" t="s">
        <v>2198</v>
      </c>
    </row>
    <row r="41" spans="1:43">
      <c r="A41" s="4">
        <v>55815</v>
      </c>
      <c r="B41" s="4" t="s">
        <v>1351</v>
      </c>
      <c r="C41" s="4" t="s">
        <v>221</v>
      </c>
      <c r="D41" s="5" t="s">
        <v>1530</v>
      </c>
      <c r="E41" s="6" t="str">
        <f>HYPERLINK("https://stat100.ameba.jp/tnk47/ratio20/illustrations/card/ill_55815_koroka05.jpg", "■")</f>
        <v>■</v>
      </c>
      <c r="F41" s="4" t="s">
        <v>1531</v>
      </c>
      <c r="M41" s="4" t="s">
        <v>2113</v>
      </c>
      <c r="N41" s="4" t="s">
        <v>2113</v>
      </c>
      <c r="O41" s="4" t="s">
        <v>2113</v>
      </c>
      <c r="P41" s="4" t="s">
        <v>2113</v>
      </c>
      <c r="Q41" s="4" t="s">
        <v>2113</v>
      </c>
      <c r="R41" s="4" t="s">
        <v>2113</v>
      </c>
      <c r="S41" s="4" t="s">
        <v>2113</v>
      </c>
      <c r="AK41" s="4" t="str">
        <f>'5進化ガチャ'!U23</f>
        <v>16+竜+竜+15+16</v>
      </c>
      <c r="AL41" s="4" t="s">
        <v>1093</v>
      </c>
      <c r="AM41" s="4">
        <v>9</v>
      </c>
      <c r="AN41" s="4">
        <v>37005</v>
      </c>
      <c r="AO41" s="4">
        <v>28437</v>
      </c>
      <c r="AP41" s="4" t="s">
        <v>1389</v>
      </c>
      <c r="AQ41" s="4" t="s">
        <v>2202</v>
      </c>
    </row>
    <row r="42" spans="1:43">
      <c r="A42" s="4">
        <v>56405</v>
      </c>
      <c r="B42" s="4" t="s">
        <v>1351</v>
      </c>
      <c r="C42" s="4" t="s">
        <v>272</v>
      </c>
      <c r="D42" s="5" t="s">
        <v>1535</v>
      </c>
      <c r="E42" s="6" t="str">
        <f>HYPERLINK("https://stat100.ameba.jp/tnk47/ratio20/illustrations/card/ill_56405_inukaitsuyoshi05.jpg", "■")</f>
        <v>■</v>
      </c>
      <c r="F42" s="4" t="s">
        <v>1536</v>
      </c>
      <c r="M42" s="4" t="s">
        <v>2113</v>
      </c>
      <c r="N42" s="4" t="s">
        <v>2113</v>
      </c>
      <c r="O42" s="4" t="s">
        <v>2113</v>
      </c>
      <c r="P42" s="4" t="s">
        <v>2113</v>
      </c>
      <c r="Q42" s="4" t="s">
        <v>2113</v>
      </c>
      <c r="R42" s="4" t="s">
        <v>2113</v>
      </c>
      <c r="S42" s="4" t="s">
        <v>2113</v>
      </c>
      <c r="U42" s="4" t="s">
        <v>2113</v>
      </c>
      <c r="V42" s="4" t="s">
        <v>2113</v>
      </c>
      <c r="W42" s="4" t="s">
        <v>2113</v>
      </c>
      <c r="X42" s="4" t="s">
        <v>2113</v>
      </c>
      <c r="Y42" s="4" t="s">
        <v>2113</v>
      </c>
      <c r="Z42" s="4" t="s">
        <v>2113</v>
      </c>
      <c r="AA42" s="21" t="s">
        <v>2113</v>
      </c>
      <c r="AK42" s="4" t="str">
        <f>'5進化ガチャ'!U24</f>
        <v>17+竜+竜+竜+(14+竜+竜+竜+13)</v>
      </c>
      <c r="AL42" s="4" t="s">
        <v>1354</v>
      </c>
      <c r="AM42" s="4" t="s">
        <v>522</v>
      </c>
      <c r="AN42" s="4" t="s">
        <v>522</v>
      </c>
      <c r="AO42" s="4" t="s">
        <v>522</v>
      </c>
      <c r="AP42" s="4" t="s">
        <v>1538</v>
      </c>
      <c r="AQ42" s="4" t="s">
        <v>1539</v>
      </c>
    </row>
    <row r="43" spans="1:43">
      <c r="A43" s="4">
        <v>56395</v>
      </c>
      <c r="B43" s="4" t="s">
        <v>1441</v>
      </c>
      <c r="C43" s="4" t="s">
        <v>357</v>
      </c>
      <c r="D43" s="5" t="s">
        <v>1541</v>
      </c>
      <c r="E43" s="6" t="str">
        <f>HYPERLINK("https://stat100.ameba.jp/tnk47/ratio20/illustrations/card/ill_56395_tonkotsuramen05.jpg", "■")</f>
        <v>■</v>
      </c>
      <c r="F43" s="4" t="s">
        <v>1542</v>
      </c>
      <c r="M43" s="4" t="s">
        <v>2113</v>
      </c>
      <c r="N43" s="4" t="s">
        <v>2113</v>
      </c>
      <c r="O43" s="4" t="s">
        <v>2113</v>
      </c>
      <c r="P43" s="4" t="s">
        <v>2113</v>
      </c>
      <c r="Q43" s="4" t="s">
        <v>2113</v>
      </c>
      <c r="R43" s="4" t="s">
        <v>2113</v>
      </c>
      <c r="S43" s="4" t="s">
        <v>2113</v>
      </c>
      <c r="U43" s="4" t="s">
        <v>2113</v>
      </c>
      <c r="V43" s="4" t="s">
        <v>2113</v>
      </c>
      <c r="W43" s="4" t="s">
        <v>2113</v>
      </c>
      <c r="X43" s="4" t="s">
        <v>2113</v>
      </c>
      <c r="Y43" s="4" t="s">
        <v>2113</v>
      </c>
      <c r="Z43" s="4" t="s">
        <v>2113</v>
      </c>
      <c r="AA43" s="21" t="s">
        <v>2113</v>
      </c>
      <c r="AK43" s="4" t="str">
        <f>'5進化ガチャ'!U25</f>
        <v>17+竜+竜+15+(16+竜+竜+竜+16)</v>
      </c>
      <c r="AL43" s="4" t="s">
        <v>1354</v>
      </c>
      <c r="AM43" s="4">
        <v>9</v>
      </c>
      <c r="AN43" s="4">
        <v>28437</v>
      </c>
      <c r="AO43" s="4">
        <v>37005</v>
      </c>
      <c r="AP43" s="4" t="s">
        <v>1543</v>
      </c>
      <c r="AQ43" s="4" t="s">
        <v>1544</v>
      </c>
    </row>
    <row r="44" spans="1:43">
      <c r="A44" s="4">
        <v>57085</v>
      </c>
      <c r="B44" s="4" t="s">
        <v>1441</v>
      </c>
      <c r="C44" s="4" t="s">
        <v>209</v>
      </c>
      <c r="D44" s="5" t="s">
        <v>1546</v>
      </c>
      <c r="E44" s="6" t="str">
        <f>HYPERLINK("https://stat100.ameba.jp/tnk47/ratio20/illustrations/card/ill_57085_shimazunariakira05.jpg", "■")</f>
        <v>■</v>
      </c>
      <c r="F44" s="4" t="s">
        <v>1547</v>
      </c>
      <c r="N44" s="4" t="s">
        <v>2113</v>
      </c>
      <c r="O44" s="4" t="s">
        <v>2113</v>
      </c>
      <c r="P44" s="4" t="s">
        <v>2113</v>
      </c>
      <c r="Q44" s="4" t="s">
        <v>2113</v>
      </c>
      <c r="R44" s="4" t="s">
        <v>2113</v>
      </c>
      <c r="S44" s="4" t="s">
        <v>2113</v>
      </c>
      <c r="T44" s="4" t="s">
        <v>2113</v>
      </c>
      <c r="V44" s="4" t="s">
        <v>2113</v>
      </c>
      <c r="W44" s="4" t="s">
        <v>2113</v>
      </c>
      <c r="X44" s="4" t="s">
        <v>2113</v>
      </c>
      <c r="Y44" s="4" t="s">
        <v>2113</v>
      </c>
      <c r="Z44" s="4" t="s">
        <v>2113</v>
      </c>
      <c r="AA44" s="21" t="s">
        <v>2113</v>
      </c>
      <c r="AB44" s="39" t="s">
        <v>2113</v>
      </c>
      <c r="AE44" s="73" t="s">
        <v>2113</v>
      </c>
      <c r="AF44" s="67" t="s">
        <v>2113</v>
      </c>
      <c r="AG44" s="90" t="s">
        <v>2113</v>
      </c>
      <c r="AH44" s="90" t="s">
        <v>2113</v>
      </c>
      <c r="AK44" s="4" t="str">
        <f>'5進化ガチャ'!U26</f>
        <v>17+竜+竜+竜+(13+竜+竜+竜+12)</v>
      </c>
      <c r="AL44" s="4" t="s">
        <v>1354</v>
      </c>
      <c r="AM44" s="4" t="s">
        <v>522</v>
      </c>
      <c r="AN44" s="4" t="s">
        <v>522</v>
      </c>
      <c r="AO44" s="4" t="s">
        <v>522</v>
      </c>
      <c r="AP44" s="4" t="s">
        <v>1549</v>
      </c>
      <c r="AQ44" s="4" t="s">
        <v>1550</v>
      </c>
    </row>
    <row r="45" spans="1:43">
      <c r="A45" s="4">
        <v>57075</v>
      </c>
      <c r="B45" s="4" t="s">
        <v>1351</v>
      </c>
      <c r="C45" s="4" t="s">
        <v>381</v>
      </c>
      <c r="D45" s="5" t="s">
        <v>1552</v>
      </c>
      <c r="E45" s="6" t="str">
        <f>HYPERLINK("https://stat100.ameba.jp/tnk47/ratio20/illustrations/card/ill_57075_yashahime05.jpg", "■")</f>
        <v>■</v>
      </c>
      <c r="F45" s="4" t="s">
        <v>1553</v>
      </c>
      <c r="N45" s="4" t="s">
        <v>2113</v>
      </c>
      <c r="O45" s="4" t="s">
        <v>2113</v>
      </c>
      <c r="P45" s="4" t="s">
        <v>2113</v>
      </c>
      <c r="Q45" s="4" t="s">
        <v>2113</v>
      </c>
      <c r="R45" s="4" t="s">
        <v>2113</v>
      </c>
      <c r="S45" s="4" t="s">
        <v>2113</v>
      </c>
      <c r="T45" s="4" t="s">
        <v>2113</v>
      </c>
      <c r="V45" s="4" t="s">
        <v>2113</v>
      </c>
      <c r="W45" s="4" t="s">
        <v>2113</v>
      </c>
      <c r="X45" s="4" t="s">
        <v>2113</v>
      </c>
      <c r="Y45" s="4" t="s">
        <v>2113</v>
      </c>
      <c r="Z45" s="4" t="s">
        <v>2113</v>
      </c>
      <c r="AA45" s="21" t="s">
        <v>2113</v>
      </c>
      <c r="AB45" s="39" t="s">
        <v>2113</v>
      </c>
      <c r="AE45" s="73" t="s">
        <v>2113</v>
      </c>
      <c r="AF45" s="67" t="s">
        <v>2113</v>
      </c>
      <c r="AG45" s="90" t="s">
        <v>2113</v>
      </c>
      <c r="AH45" s="90" t="s">
        <v>2113</v>
      </c>
      <c r="AK45" s="4" t="str">
        <f>'5進化ガチャ'!U27</f>
        <v>17+竜+竜+12+(14+9+9+竜+13)</v>
      </c>
      <c r="AL45" s="4" t="s">
        <v>1354</v>
      </c>
      <c r="AM45" s="4">
        <v>9</v>
      </c>
      <c r="AN45" s="4">
        <v>28437</v>
      </c>
      <c r="AO45" s="4">
        <v>37005</v>
      </c>
      <c r="AP45" s="4" t="s">
        <v>1555</v>
      </c>
      <c r="AQ45" s="4" t="s">
        <v>2203</v>
      </c>
    </row>
    <row r="46" spans="1:43">
      <c r="A46" s="4">
        <v>58295</v>
      </c>
      <c r="B46" s="4" t="s">
        <v>1351</v>
      </c>
      <c r="C46" s="4" t="s">
        <v>468</v>
      </c>
      <c r="D46" s="5" t="s">
        <v>1562</v>
      </c>
      <c r="E46" s="6" t="str">
        <f>HYPERLINK("https://stat100.ameba.jp/tnk47/ratio20/illustrations/card/ill_58295_hasegawashigure05.jpg", "■")</f>
        <v>■</v>
      </c>
      <c r="F46" s="4" t="s">
        <v>1563</v>
      </c>
      <c r="N46" s="4" t="s">
        <v>2113</v>
      </c>
      <c r="O46" s="4" t="s">
        <v>2113</v>
      </c>
      <c r="P46" s="4" t="s">
        <v>2113</v>
      </c>
      <c r="Q46" s="4" t="s">
        <v>2113</v>
      </c>
      <c r="R46" s="4" t="s">
        <v>2113</v>
      </c>
      <c r="S46" s="4" t="s">
        <v>2113</v>
      </c>
      <c r="T46" s="4" t="s">
        <v>2113</v>
      </c>
      <c r="V46" s="4" t="s">
        <v>2113</v>
      </c>
      <c r="W46" s="4" t="s">
        <v>2113</v>
      </c>
      <c r="X46" s="4" t="s">
        <v>2113</v>
      </c>
      <c r="Y46" s="4" t="s">
        <v>2113</v>
      </c>
      <c r="Z46" s="4" t="s">
        <v>2113</v>
      </c>
      <c r="AA46" s="21" t="s">
        <v>2113</v>
      </c>
      <c r="AB46" s="39" t="s">
        <v>2113</v>
      </c>
      <c r="AE46" s="73" t="s">
        <v>2113</v>
      </c>
      <c r="AF46" s="67" t="s">
        <v>2113</v>
      </c>
      <c r="AG46" s="90" t="s">
        <v>2113</v>
      </c>
      <c r="AH46" s="90" t="s">
        <v>2113</v>
      </c>
      <c r="AK46" s="4" t="str">
        <f>'5進化ガチャ'!U31</f>
        <v>17+?+?+?+?,?,13,13</v>
      </c>
      <c r="AL46" s="4" t="s">
        <v>1354</v>
      </c>
      <c r="AM46" s="4">
        <v>9</v>
      </c>
      <c r="AN46" s="4">
        <v>28437</v>
      </c>
      <c r="AO46" s="4">
        <v>37005</v>
      </c>
      <c r="AP46" s="4" t="s">
        <v>1565</v>
      </c>
      <c r="AQ46" s="4" t="s">
        <v>2204</v>
      </c>
    </row>
    <row r="47" spans="1:43">
      <c r="A47" s="4">
        <v>59355</v>
      </c>
      <c r="B47" s="4" t="s">
        <v>1441</v>
      </c>
      <c r="C47" s="4" t="s">
        <v>381</v>
      </c>
      <c r="D47" s="5" t="s">
        <v>1567</v>
      </c>
      <c r="E47" s="6" t="str">
        <f>HYPERLINK("https://stat100.ameba.jp/tnk47/ratio20/illustrations/card/ill_59355_kijutsu05.jpg", "■")</f>
        <v>■</v>
      </c>
      <c r="F47" s="4" t="s">
        <v>1568</v>
      </c>
      <c r="N47" s="4" t="s">
        <v>2113</v>
      </c>
      <c r="O47" s="4" t="s">
        <v>2113</v>
      </c>
      <c r="P47" s="4" t="s">
        <v>2113</v>
      </c>
      <c r="Q47" s="4" t="s">
        <v>2113</v>
      </c>
      <c r="R47" s="4" t="s">
        <v>2113</v>
      </c>
      <c r="S47" s="4" t="s">
        <v>2113</v>
      </c>
      <c r="T47" s="4" t="s">
        <v>2113</v>
      </c>
      <c r="U47" s="4" t="s">
        <v>2113</v>
      </c>
      <c r="AK47" s="4" t="str">
        <f>'5進化ガチャ'!U32</f>
        <v>17+?+?+?+(?+?+?+?+?),?,?,?,?</v>
      </c>
      <c r="AL47" s="4" t="s">
        <v>1354</v>
      </c>
      <c r="AM47" s="4" t="s">
        <v>522</v>
      </c>
      <c r="AN47" s="4" t="s">
        <v>522</v>
      </c>
      <c r="AO47" s="4" t="s">
        <v>522</v>
      </c>
      <c r="AP47" s="4" t="s">
        <v>1570</v>
      </c>
      <c r="AQ47" s="4" t="s">
        <v>1571</v>
      </c>
    </row>
    <row r="48" spans="1:43">
      <c r="A48" s="4">
        <v>46645</v>
      </c>
      <c r="B48" s="4" t="s">
        <v>1351</v>
      </c>
      <c r="C48" s="4" t="s">
        <v>468</v>
      </c>
      <c r="D48" s="5" t="s">
        <v>1573</v>
      </c>
      <c r="E48" s="6" t="str">
        <f>HYPERLINK("https://stat100.ameba.jp/tnk47/ratio20/illustrations/card/ill_46645_kitagawautamaro05.jpg", "■")</f>
        <v>■</v>
      </c>
      <c r="F48" s="4" t="s">
        <v>1574</v>
      </c>
      <c r="N48" s="4" t="s">
        <v>2113</v>
      </c>
      <c r="O48" s="4" t="s">
        <v>2113</v>
      </c>
      <c r="P48" s="4" t="s">
        <v>2113</v>
      </c>
      <c r="Q48" s="4" t="s">
        <v>2113</v>
      </c>
      <c r="R48" s="4" t="s">
        <v>2113</v>
      </c>
      <c r="S48" s="4" t="s">
        <v>2113</v>
      </c>
      <c r="T48" s="4" t="s">
        <v>2113</v>
      </c>
      <c r="U48" s="4" t="s">
        <v>2113</v>
      </c>
      <c r="AG48" s="90" t="s">
        <v>2113</v>
      </c>
      <c r="AH48" s="90" t="s">
        <v>2113</v>
      </c>
      <c r="AI48" s="89" t="s">
        <v>2113</v>
      </c>
      <c r="AJ48" s="99" t="s">
        <v>2113</v>
      </c>
      <c r="AK48" s="4" t="str">
        <f>'5進化ガチャ'!U33</f>
        <v>15+13+14+14+(14+?+?+?+?,?,?,?,?),9,11,11,14</v>
      </c>
      <c r="AL48" s="4" t="s">
        <v>1354</v>
      </c>
      <c r="AM48" s="4">
        <v>22</v>
      </c>
      <c r="AN48" s="4">
        <v>94594</v>
      </c>
      <c r="AO48" s="4">
        <v>72468</v>
      </c>
      <c r="AP48" s="4" t="s">
        <v>1576</v>
      </c>
      <c r="AQ48" s="4" t="s">
        <v>2205</v>
      </c>
    </row>
    <row r="49" spans="1:43">
      <c r="A49" s="4">
        <v>59365</v>
      </c>
      <c r="B49" s="4" t="s">
        <v>1351</v>
      </c>
      <c r="C49" s="4" t="s">
        <v>229</v>
      </c>
      <c r="D49" s="5" t="s">
        <v>1577</v>
      </c>
      <c r="E49" s="6" t="str">
        <f>HYPERLINK("https://stat100.ameba.jp/tnk47/ratio20/illustrations/card/ill_59365_hokkaidoinu05.jpg", "■")</f>
        <v>■</v>
      </c>
      <c r="F49" s="4" t="s">
        <v>1578</v>
      </c>
      <c r="N49" s="4" t="s">
        <v>2113</v>
      </c>
      <c r="O49" s="4" t="s">
        <v>2113</v>
      </c>
      <c r="P49" s="4" t="s">
        <v>2113</v>
      </c>
      <c r="Q49" s="4" t="s">
        <v>2113</v>
      </c>
      <c r="R49" s="4" t="s">
        <v>2113</v>
      </c>
      <c r="S49" s="4" t="s">
        <v>2113</v>
      </c>
      <c r="T49" s="4" t="s">
        <v>2113</v>
      </c>
      <c r="U49" s="4" t="s">
        <v>2113</v>
      </c>
      <c r="AH49" s="90"/>
      <c r="AK49" s="4" t="str">
        <f>'5進化ガチャ'!U34</f>
        <v>18+13+15+15+(15+?+?+?+?,?,11,15,13)</v>
      </c>
      <c r="AL49" s="4" t="s">
        <v>1354</v>
      </c>
      <c r="AM49" s="4">
        <v>20</v>
      </c>
      <c r="AN49" s="4">
        <v>85994</v>
      </c>
      <c r="AO49" s="4">
        <v>65880</v>
      </c>
      <c r="AP49" s="4" t="s">
        <v>1580</v>
      </c>
      <c r="AQ49" s="4" t="s">
        <v>2206</v>
      </c>
    </row>
    <row r="50" spans="1:43">
      <c r="A50" s="4">
        <v>60135</v>
      </c>
      <c r="B50" s="4" t="s">
        <v>1441</v>
      </c>
      <c r="C50" s="4" t="s">
        <v>302</v>
      </c>
      <c r="D50" s="5" t="s">
        <v>1582</v>
      </c>
      <c r="E50" s="6" t="str">
        <f>HYPERLINK("https://stat100.ameba.jp/tnk47/ratio20/illustrations/card/ill_60135_guhin05.jpg", "■")</f>
        <v>■</v>
      </c>
      <c r="F50" s="4" t="s">
        <v>1583</v>
      </c>
      <c r="O50" s="4" t="s">
        <v>2113</v>
      </c>
      <c r="P50" s="4" t="s">
        <v>2113</v>
      </c>
      <c r="Q50" s="4" t="s">
        <v>2113</v>
      </c>
      <c r="R50" s="4" t="s">
        <v>2113</v>
      </c>
      <c r="S50" s="4" t="s">
        <v>2113</v>
      </c>
      <c r="T50" s="4" t="s">
        <v>2113</v>
      </c>
      <c r="U50" s="4" t="s">
        <v>2113</v>
      </c>
      <c r="V50" s="4" t="s">
        <v>2113</v>
      </c>
      <c r="AH50" s="90"/>
      <c r="AK50" s="4" t="str">
        <f>'5進化ガチャ'!U35</f>
        <v>14+?+?+?+?,?,?</v>
      </c>
      <c r="AL50" s="4" t="s">
        <v>1093</v>
      </c>
      <c r="AM50" s="4" t="s">
        <v>522</v>
      </c>
      <c r="AN50" s="4" t="s">
        <v>522</v>
      </c>
      <c r="AO50" s="4" t="s">
        <v>522</v>
      </c>
      <c r="AP50" s="4" t="s">
        <v>1585</v>
      </c>
      <c r="AQ50" s="4" t="s">
        <v>2207</v>
      </c>
    </row>
    <row r="51" spans="1:43">
      <c r="A51" s="4">
        <v>61715</v>
      </c>
      <c r="B51" s="4" t="s">
        <v>1441</v>
      </c>
      <c r="C51" s="4" t="s">
        <v>229</v>
      </c>
      <c r="D51" s="5" t="s">
        <v>1588</v>
      </c>
      <c r="E51" s="6" t="str">
        <f>HYPERLINK("https://stat100.ameba.jp/tnk47/ratio20/illustrations/card/ill_61715_shiroiruka05.jpg", "■")</f>
        <v>■</v>
      </c>
      <c r="F51" s="4" t="s">
        <v>1589</v>
      </c>
      <c r="O51" s="4" t="s">
        <v>2113</v>
      </c>
      <c r="P51" s="4" t="s">
        <v>2113</v>
      </c>
      <c r="Q51" s="4" t="s">
        <v>2113</v>
      </c>
      <c r="R51" s="4" t="s">
        <v>2113</v>
      </c>
      <c r="S51" s="4" t="s">
        <v>2113</v>
      </c>
      <c r="T51" s="4" t="s">
        <v>2113</v>
      </c>
      <c r="U51" s="4" t="s">
        <v>2113</v>
      </c>
      <c r="V51" s="4" t="s">
        <v>2113</v>
      </c>
      <c r="AH51" s="90"/>
      <c r="AK51" s="4" t="str">
        <f>'5進化ガチャ'!U36</f>
        <v>15+?+?+?+?</v>
      </c>
      <c r="AL51" s="4" t="s">
        <v>1093</v>
      </c>
      <c r="AM51" s="4" t="s">
        <v>522</v>
      </c>
      <c r="AN51" s="4" t="s">
        <v>522</v>
      </c>
      <c r="AO51" s="4" t="s">
        <v>522</v>
      </c>
      <c r="AP51" s="4" t="s">
        <v>1591</v>
      </c>
      <c r="AQ51" s="4" t="s">
        <v>2208</v>
      </c>
    </row>
    <row r="52" spans="1:43">
      <c r="A52" s="4">
        <v>60145</v>
      </c>
      <c r="B52" s="4" t="s">
        <v>1351</v>
      </c>
      <c r="C52" s="4" t="s">
        <v>235</v>
      </c>
      <c r="D52" s="5" t="s">
        <v>1592</v>
      </c>
      <c r="E52" s="6" t="str">
        <f>HYPERLINK("https://stat100.ameba.jp/tnk47/ratio20/illustrations/card/ill_60145_momonoishunzo05.jpg", "■")</f>
        <v>■</v>
      </c>
      <c r="F52" s="4" t="s">
        <v>1593</v>
      </c>
      <c r="O52" s="4" t="s">
        <v>2113</v>
      </c>
      <c r="P52" s="4" t="s">
        <v>2113</v>
      </c>
      <c r="Q52" s="4" t="s">
        <v>2113</v>
      </c>
      <c r="R52" s="4" t="s">
        <v>2113</v>
      </c>
      <c r="S52" s="4" t="s">
        <v>2113</v>
      </c>
      <c r="T52" s="4" t="s">
        <v>2113</v>
      </c>
      <c r="U52" s="4" t="s">
        <v>2113</v>
      </c>
      <c r="V52" s="4" t="s">
        <v>2113</v>
      </c>
      <c r="X52" s="4" t="s">
        <v>2113</v>
      </c>
      <c r="Y52" s="4" t="s">
        <v>2113</v>
      </c>
      <c r="AH52" s="90"/>
      <c r="AK52" s="4" t="str">
        <f>'5進化ガチャ'!U37</f>
        <v>17+?+?+?+?</v>
      </c>
      <c r="AL52" s="4" t="s">
        <v>1093</v>
      </c>
      <c r="AM52" s="4">
        <v>9</v>
      </c>
      <c r="AN52" s="4">
        <v>35767</v>
      </c>
      <c r="AO52" s="4">
        <v>59168</v>
      </c>
      <c r="AP52" s="4" t="s">
        <v>1595</v>
      </c>
      <c r="AQ52" s="4" t="s">
        <v>2209</v>
      </c>
    </row>
    <row r="53" spans="1:43">
      <c r="A53" s="4">
        <v>61315</v>
      </c>
      <c r="B53" s="4" t="s">
        <v>1441</v>
      </c>
      <c r="C53" s="4" t="s">
        <v>267</v>
      </c>
      <c r="D53" s="5" t="s">
        <v>1597</v>
      </c>
      <c r="E53" s="6" t="str">
        <f>HYPERLINK("https://stat100.ameba.jp/tnk47/ratio20/illustrations/card/ill_61315_kayanarumi05.jpg", "■")</f>
        <v>■</v>
      </c>
      <c r="F53" s="4" t="s">
        <v>1598</v>
      </c>
      <c r="P53" s="4" t="s">
        <v>2113</v>
      </c>
      <c r="Q53" s="4" t="s">
        <v>2113</v>
      </c>
      <c r="R53" s="4" t="s">
        <v>2113</v>
      </c>
      <c r="S53" s="4" t="s">
        <v>2113</v>
      </c>
      <c r="T53" s="4" t="s">
        <v>2113</v>
      </c>
      <c r="U53" s="4" t="s">
        <v>2113</v>
      </c>
      <c r="V53" s="4" t="s">
        <v>2113</v>
      </c>
      <c r="W53" s="4" t="s">
        <v>2113</v>
      </c>
      <c r="AG53" s="90" t="s">
        <v>2113</v>
      </c>
      <c r="AH53" s="90" t="s">
        <v>2113</v>
      </c>
      <c r="AI53" s="89" t="s">
        <v>2113</v>
      </c>
      <c r="AJ53" s="99" t="s">
        <v>2113</v>
      </c>
      <c r="AK53" s="4" t="str">
        <f>'5進化ガチャ'!U38</f>
        <v>16+竜+竜+竜+(15+?+?+?+?,?)</v>
      </c>
      <c r="AL53" s="4" t="s">
        <v>1354</v>
      </c>
      <c r="AM53" s="4" t="s">
        <v>522</v>
      </c>
      <c r="AN53" s="4" t="s">
        <v>522</v>
      </c>
      <c r="AO53" s="4" t="s">
        <v>522</v>
      </c>
      <c r="AP53" s="4" t="s">
        <v>1600</v>
      </c>
      <c r="AQ53" s="4" t="s">
        <v>2210</v>
      </c>
    </row>
    <row r="54" spans="1:43">
      <c r="A54" s="4">
        <v>61725</v>
      </c>
      <c r="B54" s="4" t="s">
        <v>1351</v>
      </c>
      <c r="C54" s="4" t="s">
        <v>302</v>
      </c>
      <c r="D54" s="5" t="s">
        <v>1602</v>
      </c>
      <c r="E54" s="6" t="str">
        <f>HYPERLINK("https://stat100.ameba.jp/tnk47/ratio20/illustrations/card/ill_61725_ainusokki05.jpg", "■")</f>
        <v>■</v>
      </c>
      <c r="F54" s="4" t="s">
        <v>1603</v>
      </c>
      <c r="P54" s="4" t="s">
        <v>2113</v>
      </c>
      <c r="Q54" s="4" t="s">
        <v>2113</v>
      </c>
      <c r="R54" s="4" t="s">
        <v>2113</v>
      </c>
      <c r="S54" s="4" t="s">
        <v>2113</v>
      </c>
      <c r="T54" s="4" t="s">
        <v>2113</v>
      </c>
      <c r="U54" s="4" t="s">
        <v>2113</v>
      </c>
      <c r="V54" s="4" t="s">
        <v>2113</v>
      </c>
      <c r="W54" s="4" t="s">
        <v>2113</v>
      </c>
      <c r="AH54" s="90"/>
      <c r="AK54" s="4" t="str">
        <f>'5進化ガチャ'!U39</f>
        <v>16+?+?+?+?,?</v>
      </c>
      <c r="AL54" s="4" t="s">
        <v>1093</v>
      </c>
      <c r="AM54" s="4" t="s">
        <v>522</v>
      </c>
      <c r="AN54" s="4" t="s">
        <v>522</v>
      </c>
      <c r="AO54" s="4" t="s">
        <v>522</v>
      </c>
      <c r="AP54" s="4" t="s">
        <v>1605</v>
      </c>
      <c r="AQ54" s="4" t="s">
        <v>1606</v>
      </c>
    </row>
    <row r="55" spans="1:43">
      <c r="A55" s="4">
        <v>61305</v>
      </c>
      <c r="B55" s="4" t="s">
        <v>1351</v>
      </c>
      <c r="C55" s="4" t="s">
        <v>272</v>
      </c>
      <c r="D55" s="5" t="s">
        <v>1607</v>
      </c>
      <c r="E55" s="6" t="str">
        <f>HYPERLINK("https://stat100.ameba.jp/tnk47/ratio20/illustrations/card/ill_61305_nichiren05.jpg", "■")</f>
        <v>■</v>
      </c>
      <c r="F55" s="4" t="s">
        <v>1608</v>
      </c>
      <c r="P55" s="4" t="s">
        <v>2113</v>
      </c>
      <c r="Q55" s="4" t="s">
        <v>2113</v>
      </c>
      <c r="R55" s="4" t="s">
        <v>2113</v>
      </c>
      <c r="S55" s="4" t="s">
        <v>2113</v>
      </c>
      <c r="T55" s="4" t="s">
        <v>2113</v>
      </c>
      <c r="U55" s="4" t="s">
        <v>2113</v>
      </c>
      <c r="V55" s="4" t="s">
        <v>2113</v>
      </c>
      <c r="W55" s="4" t="s">
        <v>2113</v>
      </c>
      <c r="AH55" s="90"/>
      <c r="AK55" s="4" t="str">
        <f>'5進化ガチャ'!U40</f>
        <v>18+竜+竜+竜+(17+竜+11+14+(14(↑15)+?+?+?+?))</v>
      </c>
      <c r="AL55" s="4" t="s">
        <v>1354</v>
      </c>
      <c r="AM55" s="4">
        <v>9</v>
      </c>
      <c r="AN55" s="4">
        <v>40515</v>
      </c>
      <c r="AO55" s="4">
        <v>29333</v>
      </c>
      <c r="AP55" s="4" t="s">
        <v>1610</v>
      </c>
      <c r="AQ55" s="4" t="s">
        <v>1845</v>
      </c>
    </row>
    <row r="56" spans="1:43">
      <c r="A56" s="4">
        <v>61975</v>
      </c>
      <c r="B56" s="4" t="s">
        <v>1441</v>
      </c>
      <c r="C56" s="4" t="s">
        <v>357</v>
      </c>
      <c r="D56" s="5" t="s">
        <v>1616</v>
      </c>
      <c r="E56" s="6" t="str">
        <f>HYPERLINK("https://stat100.ameba.jp/tnk47/ratio20/illustrations/card/ill_61975_yamematcha05.jpg", "■")</f>
        <v>■</v>
      </c>
      <c r="F56" s="4" t="s">
        <v>1617</v>
      </c>
      <c r="Q56" s="4" t="s">
        <v>2113</v>
      </c>
      <c r="R56" s="4" t="s">
        <v>2113</v>
      </c>
      <c r="S56" s="4" t="s">
        <v>2113</v>
      </c>
      <c r="T56" s="4" t="s">
        <v>2113</v>
      </c>
      <c r="U56" s="4" t="s">
        <v>2113</v>
      </c>
      <c r="V56" s="4" t="s">
        <v>2113</v>
      </c>
      <c r="W56" s="4" t="s">
        <v>2113</v>
      </c>
      <c r="X56" s="4" t="s">
        <v>2113</v>
      </c>
      <c r="AH56" s="90"/>
      <c r="AK56" s="4" t="str">
        <f>'5進化ガチャ'!U42</f>
        <v>18+竜+14+15+(11(↑14)(↑15)+?+?+?+?)</v>
      </c>
      <c r="AL56" s="4" t="s">
        <v>1354</v>
      </c>
      <c r="AM56" s="4">
        <v>20</v>
      </c>
      <c r="AN56" s="4">
        <v>113714</v>
      </c>
      <c r="AO56" s="4">
        <v>82346</v>
      </c>
      <c r="AP56" s="4" t="s">
        <v>1619</v>
      </c>
      <c r="AQ56" s="4" t="s">
        <v>1620</v>
      </c>
    </row>
    <row r="57" spans="1:43">
      <c r="A57" s="4">
        <v>63215</v>
      </c>
      <c r="B57" s="4" t="s">
        <v>1351</v>
      </c>
      <c r="C57" s="4" t="s">
        <v>357</v>
      </c>
      <c r="D57" s="5" t="s">
        <v>1621</v>
      </c>
      <c r="E57" s="6" t="str">
        <f>HYPERLINK("https://stat100.ameba.jp/tnk47/ratio20/illustrations/card/ill_63215_yokosukakaigunkare05.jpg", "■")</f>
        <v>■</v>
      </c>
      <c r="F57" s="4" t="s">
        <v>1622</v>
      </c>
      <c r="Q57" s="4" t="s">
        <v>2113</v>
      </c>
      <c r="R57" s="4" t="s">
        <v>2113</v>
      </c>
      <c r="S57" s="4" t="s">
        <v>2113</v>
      </c>
      <c r="T57" s="4" t="s">
        <v>2113</v>
      </c>
      <c r="U57" s="4" t="s">
        <v>2113</v>
      </c>
      <c r="V57" s="4" t="s">
        <v>2113</v>
      </c>
      <c r="W57" s="4" t="s">
        <v>2113</v>
      </c>
      <c r="X57" s="4" t="s">
        <v>2113</v>
      </c>
      <c r="AH57" s="90"/>
      <c r="AK57" s="4" t="str">
        <f>'5進化ガチャ'!U43</f>
        <v>18+14+14+15+(16+竜+竜+11+(15+?+?+?+?,?,?)),竜,竜,竜,竜 処15</v>
      </c>
      <c r="AL57" s="4" t="s">
        <v>1354</v>
      </c>
      <c r="AM57" s="4">
        <v>21</v>
      </c>
      <c r="AN57" s="4">
        <v>90777</v>
      </c>
      <c r="AO57" s="4">
        <v>125367</v>
      </c>
      <c r="AP57" s="4" t="s">
        <v>1623</v>
      </c>
      <c r="AQ57" s="4" t="s">
        <v>1624</v>
      </c>
    </row>
    <row r="58" spans="1:43">
      <c r="A58" s="4">
        <v>63205</v>
      </c>
      <c r="B58" s="4" t="s">
        <v>1441</v>
      </c>
      <c r="C58" s="4" t="s">
        <v>235</v>
      </c>
      <c r="D58" s="5" t="s">
        <v>1625</v>
      </c>
      <c r="E58" s="6" t="str">
        <f>HYPERLINK("https://stat100.ameba.jp/tnk47/ratio20/illustrations/card/ill_63205_ashikagayoshihide05.jpg", "■")</f>
        <v>■</v>
      </c>
      <c r="F58" s="4" t="s">
        <v>1626</v>
      </c>
      <c r="Q58" s="4" t="s">
        <v>2113</v>
      </c>
      <c r="R58" s="4" t="s">
        <v>2113</v>
      </c>
      <c r="S58" s="4" t="s">
        <v>2113</v>
      </c>
      <c r="T58" s="4" t="s">
        <v>2113</v>
      </c>
      <c r="U58" s="4" t="s">
        <v>2113</v>
      </c>
      <c r="V58" s="4" t="s">
        <v>2113</v>
      </c>
      <c r="W58" s="4" t="s">
        <v>2113</v>
      </c>
      <c r="X58" s="4" t="s">
        <v>2113</v>
      </c>
      <c r="AG58" s="90" t="s">
        <v>2113</v>
      </c>
      <c r="AH58" s="90" t="s">
        <v>2113</v>
      </c>
      <c r="AI58" s="89" t="s">
        <v>2113</v>
      </c>
      <c r="AJ58" s="99" t="s">
        <v>2113</v>
      </c>
      <c r="AK58" s="4" t="str">
        <f>'5進化ガチャ'!U44</f>
        <v>17+竜+竜+11+(15+竜+竜+竜+14),15,(15+?+?+?+?,?,?,?,?)</v>
      </c>
      <c r="AL58" s="4" t="s">
        <v>1354</v>
      </c>
      <c r="AM58" s="4">
        <v>9</v>
      </c>
      <c r="AN58" s="4">
        <v>44653</v>
      </c>
      <c r="AO58" s="4">
        <v>61669</v>
      </c>
      <c r="AP58" s="4" t="s">
        <v>1628</v>
      </c>
      <c r="AQ58" s="4" t="s">
        <v>2209</v>
      </c>
    </row>
    <row r="59" spans="1:43">
      <c r="A59" s="4">
        <v>63985</v>
      </c>
      <c r="B59" s="4" t="s">
        <v>1441</v>
      </c>
      <c r="C59" s="4" t="s">
        <v>570</v>
      </c>
      <c r="D59" s="5" t="s">
        <v>1631</v>
      </c>
      <c r="E59" s="6" t="str">
        <f>HYPERLINK("https://stat100.ameba.jp/tnk47/ratio20/illustrations/card/ill_63985_kanotanyu05.jpg", "■")</f>
        <v>■</v>
      </c>
      <c r="F59" s="4" t="s">
        <v>1632</v>
      </c>
      <c r="S59" s="4" t="s">
        <v>2113</v>
      </c>
      <c r="T59" s="4" t="s">
        <v>2113</v>
      </c>
      <c r="U59" s="4" t="s">
        <v>2113</v>
      </c>
      <c r="V59" s="4" t="s">
        <v>2113</v>
      </c>
      <c r="W59" s="4" t="s">
        <v>2113</v>
      </c>
      <c r="X59" s="4" t="s">
        <v>2113</v>
      </c>
      <c r="Y59" s="4" t="s">
        <v>2211</v>
      </c>
      <c r="AK59" s="4" t="str">
        <f>'5進化ガチャ'!U45</f>
        <v>ー</v>
      </c>
      <c r="AL59" s="4" t="s">
        <v>1093</v>
      </c>
      <c r="AM59" s="4">
        <v>21</v>
      </c>
      <c r="AN59" s="4">
        <v>107620</v>
      </c>
      <c r="AO59" s="4">
        <v>77929</v>
      </c>
      <c r="AP59" s="4" t="s">
        <v>1633</v>
      </c>
      <c r="AQ59" s="4" t="s">
        <v>2212</v>
      </c>
    </row>
    <row r="60" spans="1:43">
      <c r="A60" s="4">
        <v>58305</v>
      </c>
      <c r="B60" s="4" t="s">
        <v>1635</v>
      </c>
      <c r="C60" s="4" t="s">
        <v>357</v>
      </c>
      <c r="D60" s="5" t="s">
        <v>1636</v>
      </c>
      <c r="E60" s="6" t="str">
        <f>HYPERLINK("https://stat100.ameba.jp/tnk47/ratio20/illustrations/card/ill_58305_tamagokakegohanchan05.jpg", "■")</f>
        <v>■</v>
      </c>
      <c r="F60" s="4" t="s">
        <v>1637</v>
      </c>
      <c r="S60" s="4" t="s">
        <v>2113</v>
      </c>
      <c r="T60" s="4" t="s">
        <v>2113</v>
      </c>
      <c r="U60" s="4" t="s">
        <v>2113</v>
      </c>
      <c r="V60" s="4" t="s">
        <v>2113</v>
      </c>
      <c r="W60" s="4" t="s">
        <v>2113</v>
      </c>
      <c r="X60" s="4" t="s">
        <v>2113</v>
      </c>
      <c r="Y60" s="4" t="s">
        <v>2113</v>
      </c>
      <c r="AK60" s="4" t="str">
        <f>'5進化ガチャ'!U46</f>
        <v>18+竜+13+14+(16+竜+11+14+15)</v>
      </c>
      <c r="AL60" s="4" t="s">
        <v>1354</v>
      </c>
      <c r="AM60" s="4">
        <v>20</v>
      </c>
      <c r="AN60" s="4">
        <v>103630</v>
      </c>
      <c r="AO60" s="4">
        <v>143122</v>
      </c>
      <c r="AP60" s="4" t="s">
        <v>1639</v>
      </c>
      <c r="AQ60" s="4" t="s">
        <v>1640</v>
      </c>
    </row>
    <row r="61" spans="1:43">
      <c r="A61" s="4">
        <v>63995</v>
      </c>
      <c r="B61" s="4" t="s">
        <v>1351</v>
      </c>
      <c r="C61" s="4" t="s">
        <v>330</v>
      </c>
      <c r="D61" s="5" t="s">
        <v>1641</v>
      </c>
      <c r="E61" s="6" t="str">
        <f>HYPERLINK("https://stat100.ameba.jp/tnk47/ratio20/illustrations/card/ill_63995_hojohomarehime05.jpg", "■")</f>
        <v>■</v>
      </c>
      <c r="F61" s="4" t="s">
        <v>1642</v>
      </c>
      <c r="S61" s="4" t="s">
        <v>2113</v>
      </c>
      <c r="T61" s="4" t="s">
        <v>2113</v>
      </c>
      <c r="U61" s="4" t="s">
        <v>2113</v>
      </c>
      <c r="V61" s="4" t="s">
        <v>2113</v>
      </c>
      <c r="W61" s="4" t="s">
        <v>2113</v>
      </c>
      <c r="AK61" s="4" t="str">
        <f>'5進化ガチャ'!U47</f>
        <v>16+9+14+15+15</v>
      </c>
      <c r="AL61" s="4" t="s">
        <v>1354</v>
      </c>
      <c r="AM61" s="4">
        <v>20</v>
      </c>
      <c r="AN61" s="4">
        <v>94026</v>
      </c>
      <c r="AO61" s="4">
        <v>68078</v>
      </c>
      <c r="AP61" s="4" t="s">
        <v>1644</v>
      </c>
      <c r="AQ61" s="4" t="s">
        <v>1645</v>
      </c>
    </row>
    <row r="62" spans="1:43">
      <c r="A62" s="4">
        <v>64835</v>
      </c>
      <c r="B62" s="4" t="s">
        <v>1351</v>
      </c>
      <c r="C62" s="4" t="s">
        <v>267</v>
      </c>
      <c r="D62" s="5" t="s">
        <v>2213</v>
      </c>
      <c r="E62" s="6" t="str">
        <f>HYPERLINK("https://stat100.ameba.jp/tnk47/ratio20/illustrations/card/ill_64835_okikurumi05.jpg", "■")</f>
        <v>■</v>
      </c>
      <c r="F62" s="4" t="s">
        <v>1647</v>
      </c>
      <c r="T62" s="4" t="s">
        <v>2113</v>
      </c>
      <c r="U62" s="4" t="s">
        <v>2113</v>
      </c>
      <c r="V62" s="4" t="s">
        <v>2113</v>
      </c>
      <c r="W62" s="4" t="s">
        <v>2113</v>
      </c>
      <c r="X62" s="4" t="s">
        <v>2113</v>
      </c>
      <c r="Y62" s="4" t="s">
        <v>2113</v>
      </c>
      <c r="Z62" s="4" t="s">
        <v>2113</v>
      </c>
      <c r="AK62" s="4" t="str">
        <f>'5進化ガチャ'!U48</f>
        <v>18+竜+14+15+(16+竜+14+14+(14+?+?+?+?)),16,16,16,16</v>
      </c>
      <c r="AL62" s="4" t="s">
        <v>1354</v>
      </c>
      <c r="AM62" s="4">
        <v>21</v>
      </c>
      <c r="AN62" s="4">
        <v>108272</v>
      </c>
      <c r="AO62" s="4">
        <v>78387</v>
      </c>
      <c r="AP62" s="4" t="s">
        <v>1649</v>
      </c>
      <c r="AQ62" s="4" t="s">
        <v>2214</v>
      </c>
    </row>
    <row r="63" spans="1:43">
      <c r="A63" s="4">
        <v>64855</v>
      </c>
      <c r="B63" s="4" t="s">
        <v>1351</v>
      </c>
      <c r="C63" s="4" t="s">
        <v>302</v>
      </c>
      <c r="D63" s="5" t="s">
        <v>1651</v>
      </c>
      <c r="E63" s="6" t="str">
        <f>HYPERLINK("https://stat100.ameba.jp/tnk47/ratio20/illustrations/card/ill_64855_janomegasa05.jpg", "■")</f>
        <v>■</v>
      </c>
      <c r="F63" s="4" t="s">
        <v>1652</v>
      </c>
      <c r="T63" s="4" t="s">
        <v>2113</v>
      </c>
      <c r="U63" s="4" t="s">
        <v>2113</v>
      </c>
      <c r="V63" s="4" t="s">
        <v>2113</v>
      </c>
      <c r="W63" s="4" t="s">
        <v>2113</v>
      </c>
      <c r="X63" s="4" t="s">
        <v>2113</v>
      </c>
      <c r="Y63" s="4" t="s">
        <v>2113</v>
      </c>
      <c r="Z63" s="4" t="s">
        <v>2113</v>
      </c>
      <c r="AK63" s="4" t="str">
        <f>'5進化ガチャ'!U49</f>
        <v>18+12+12+15+(14+?+?+?+?,?,?,?,?),竜,竜,竜,竜</v>
      </c>
      <c r="AL63" s="4" t="s">
        <v>1354</v>
      </c>
      <c r="AM63" s="4">
        <v>21</v>
      </c>
      <c r="AN63" s="4">
        <v>76280</v>
      </c>
      <c r="AO63" s="4">
        <v>105332</v>
      </c>
      <c r="AP63" s="4" t="s">
        <v>1654</v>
      </c>
      <c r="AQ63" s="4" t="s">
        <v>1655</v>
      </c>
    </row>
    <row r="64" spans="1:43">
      <c r="A64" s="4">
        <v>64845</v>
      </c>
      <c r="B64" s="4" t="s">
        <v>1441</v>
      </c>
      <c r="C64" s="4" t="s">
        <v>381</v>
      </c>
      <c r="D64" s="5" t="s">
        <v>1656</v>
      </c>
      <c r="E64" s="6" t="str">
        <f>HYPERLINK("https://stat100.ameba.jp/tnk47/ratio20/illustrations/card/ill_64845_mikoza05.jpg", "■")</f>
        <v>■</v>
      </c>
      <c r="F64" s="4" t="s">
        <v>1657</v>
      </c>
      <c r="T64" s="4" t="s">
        <v>2113</v>
      </c>
      <c r="U64" s="4" t="s">
        <v>2113</v>
      </c>
      <c r="V64" s="4" t="s">
        <v>2113</v>
      </c>
      <c r="W64" s="4" t="s">
        <v>2113</v>
      </c>
      <c r="X64" s="4" t="s">
        <v>2113</v>
      </c>
      <c r="Y64" s="4" t="s">
        <v>2113</v>
      </c>
      <c r="Z64" s="4" t="s">
        <v>2113</v>
      </c>
      <c r="AK64" s="4" t="str">
        <f>'5進化ガチャ'!U50</f>
        <v>18+竜+竜+14+(16+?+?+?+?,11)</v>
      </c>
      <c r="AL64" s="4" t="s">
        <v>1354</v>
      </c>
      <c r="AM64" s="4">
        <v>21</v>
      </c>
      <c r="AN64" s="4">
        <v>115284</v>
      </c>
      <c r="AO64" s="4">
        <v>83467</v>
      </c>
      <c r="AP64" s="4" t="s">
        <v>1659</v>
      </c>
      <c r="AQ64" s="4" t="s">
        <v>1660</v>
      </c>
    </row>
    <row r="65" spans="1:43">
      <c r="A65" s="4">
        <v>66165</v>
      </c>
      <c r="B65" s="4" t="s">
        <v>1441</v>
      </c>
      <c r="C65" s="4" t="s">
        <v>295</v>
      </c>
      <c r="D65" s="5" t="s">
        <v>1670</v>
      </c>
      <c r="E65" s="6" t="str">
        <f>HYPERLINK("https://stat100.ameba.jp/tnk47/ratio20/illustrations/card/ill_66165_chosokabekunichika05.jpg", "■")</f>
        <v>■</v>
      </c>
      <c r="F65" s="4" t="s">
        <v>1671</v>
      </c>
      <c r="U65" s="4" t="s">
        <v>2113</v>
      </c>
      <c r="V65" s="4" t="s">
        <v>2113</v>
      </c>
      <c r="W65" s="4" t="s">
        <v>2113</v>
      </c>
      <c r="X65" s="4" t="s">
        <v>2113</v>
      </c>
      <c r="Y65" s="4" t="s">
        <v>2113</v>
      </c>
      <c r="Z65" s="4" t="s">
        <v>2113</v>
      </c>
      <c r="AA65" s="21" t="s">
        <v>2113</v>
      </c>
      <c r="AK65" s="4" t="str">
        <f>'5進化ガチャ'!U53</f>
        <v>17(↑19)+竜+竜+15+(15+竜+竜+竜+(14+9+9+10+13)),14</v>
      </c>
      <c r="AL65" s="4" t="s">
        <v>1354</v>
      </c>
      <c r="AM65" s="4">
        <v>21</v>
      </c>
      <c r="AN65" s="4">
        <v>150278</v>
      </c>
      <c r="AO65" s="4">
        <v>108811</v>
      </c>
      <c r="AP65" s="4" t="s">
        <v>1673</v>
      </c>
      <c r="AQ65" s="4" t="s">
        <v>1674</v>
      </c>
    </row>
    <row r="66" spans="1:43">
      <c r="A66" s="4">
        <v>66295</v>
      </c>
      <c r="B66" s="4" t="s">
        <v>1441</v>
      </c>
      <c r="C66" s="4" t="s">
        <v>267</v>
      </c>
      <c r="D66" s="5" t="s">
        <v>1675</v>
      </c>
      <c r="E66" s="6" t="str">
        <f>HYPERLINK("https://stat100.ameba.jp/tnk47/ratio20/illustrations/card/ill_66295_kumanofusuminokami05.jpg", "■")</f>
        <v>■</v>
      </c>
      <c r="F66" s="4" t="s">
        <v>1676</v>
      </c>
      <c r="W66" s="4" t="s">
        <v>2113</v>
      </c>
      <c r="X66" s="4" t="s">
        <v>2113</v>
      </c>
      <c r="Y66" s="4" t="s">
        <v>2113</v>
      </c>
      <c r="Z66" s="4" t="s">
        <v>2113</v>
      </c>
      <c r="AA66" s="21" t="s">
        <v>2113</v>
      </c>
      <c r="AB66" s="39" t="s">
        <v>2113</v>
      </c>
      <c r="AC66" s="42" t="s">
        <v>2113</v>
      </c>
      <c r="AK66" s="4" t="str">
        <f>'5進化ガチャ'!U54</f>
        <v>18+14+15+15+(17+竜+竜+14+(16+9+11+11+(16+竜+竜+竜+14)))</v>
      </c>
      <c r="AL66" s="4" t="s">
        <v>1354</v>
      </c>
      <c r="AM66" s="4">
        <v>20</v>
      </c>
      <c r="AN66" s="4">
        <v>103116</v>
      </c>
      <c r="AO66" s="4">
        <v>74656</v>
      </c>
      <c r="AP66" s="4" t="s">
        <v>1678</v>
      </c>
      <c r="AQ66" s="4" t="s">
        <v>1679</v>
      </c>
    </row>
    <row r="67" spans="1:43">
      <c r="A67" s="4">
        <v>66305</v>
      </c>
      <c r="B67" s="4" t="s">
        <v>1351</v>
      </c>
      <c r="C67" s="4" t="s">
        <v>229</v>
      </c>
      <c r="D67" s="5" t="s">
        <v>1681</v>
      </c>
      <c r="E67" s="6" t="str">
        <f>HYPERLINK("https://stat100.ameba.jp/tnk47/ratio20/illustrations/card/ill_66305_irohazaka05.jpg", "■")</f>
        <v>■</v>
      </c>
      <c r="F67" s="4" t="s">
        <v>1682</v>
      </c>
      <c r="W67" s="4" t="s">
        <v>2113</v>
      </c>
      <c r="X67" s="4" t="s">
        <v>2113</v>
      </c>
      <c r="Y67" s="4" t="s">
        <v>2113</v>
      </c>
      <c r="Z67" s="4" t="s">
        <v>2113</v>
      </c>
      <c r="AA67" s="21" t="s">
        <v>2113</v>
      </c>
      <c r="AB67" s="39" t="s">
        <v>2113</v>
      </c>
      <c r="AC67" s="42" t="s">
        <v>2113</v>
      </c>
      <c r="AK67" s="4" t="str">
        <f>'5進化ガチャ'!U55</f>
        <v>18+竜+竜+竜+(14+9+9+9+9),9,9,14,15 処15+14+14+14</v>
      </c>
      <c r="AL67" s="4" t="s">
        <v>1354</v>
      </c>
      <c r="AM67" s="4">
        <v>21</v>
      </c>
      <c r="AN67" s="4">
        <v>77804</v>
      </c>
      <c r="AO67" s="4">
        <v>107439</v>
      </c>
      <c r="AP67" s="4" t="s">
        <v>1683</v>
      </c>
      <c r="AQ67" s="4" t="s">
        <v>1684</v>
      </c>
    </row>
    <row r="68" spans="1:43">
      <c r="A68" s="4">
        <v>66315</v>
      </c>
      <c r="B68" s="4" t="s">
        <v>1441</v>
      </c>
      <c r="C68" s="4" t="s">
        <v>330</v>
      </c>
      <c r="D68" s="5" t="s">
        <v>1685</v>
      </c>
      <c r="E68" s="6" t="str">
        <f>HYPERLINK("https://stat100.ameba.jp/tnk47/ratio20/illustrations/card/ill_66315_madenokojinotsubone05.jpg", "■")</f>
        <v>■</v>
      </c>
      <c r="F68" s="4" t="s">
        <v>1686</v>
      </c>
      <c r="W68" s="4" t="s">
        <v>2113</v>
      </c>
      <c r="X68" s="4" t="s">
        <v>2113</v>
      </c>
      <c r="Y68" s="4" t="s">
        <v>2113</v>
      </c>
      <c r="Z68" s="4" t="s">
        <v>2113</v>
      </c>
      <c r="AA68" s="21" t="s">
        <v>2113</v>
      </c>
      <c r="AB68" s="39" t="s">
        <v>2113</v>
      </c>
      <c r="AC68" s="42" t="s">
        <v>2113</v>
      </c>
      <c r="AK68" s="4" t="str">
        <f>'5進化ガチャ'!U56</f>
        <v>17+竜+竜+竜+(13+9+竜+竜+9),14,14,16</v>
      </c>
      <c r="AL68" s="4" t="s">
        <v>1354</v>
      </c>
      <c r="AM68" s="4">
        <v>21</v>
      </c>
      <c r="AN68" s="4">
        <v>71481</v>
      </c>
      <c r="AO68" s="4">
        <v>98728</v>
      </c>
      <c r="AP68" s="4" t="s">
        <v>1688</v>
      </c>
      <c r="AQ68" s="4" t="s">
        <v>2215</v>
      </c>
    </row>
    <row r="69" spans="1:43">
      <c r="A69" s="4">
        <v>67055</v>
      </c>
      <c r="B69" s="4" t="s">
        <v>1441</v>
      </c>
      <c r="C69" s="4" t="s">
        <v>216</v>
      </c>
      <c r="D69" s="5" t="s">
        <v>1690</v>
      </c>
      <c r="E69" s="6" t="str">
        <f>HYPERLINK("https://stat100.ameba.jp/tnk47/ratio20/illustrations/card/ill_67055_raden05.jpg", "■")</f>
        <v>■</v>
      </c>
      <c r="F69" s="4" t="s">
        <v>1691</v>
      </c>
      <c r="X69" s="4" t="s">
        <v>2113</v>
      </c>
      <c r="Y69" s="4" t="s">
        <v>2113</v>
      </c>
      <c r="Z69" s="4" t="s">
        <v>2113</v>
      </c>
      <c r="AA69" s="21" t="s">
        <v>2113</v>
      </c>
      <c r="AB69" s="39" t="s">
        <v>2113</v>
      </c>
      <c r="AC69" s="42" t="s">
        <v>2113</v>
      </c>
      <c r="AD69" s="55" t="s">
        <v>2113</v>
      </c>
      <c r="AK69" s="4" t="str">
        <f>'5進化ガチャ'!U57</f>
        <v>22+竜+竜+竜+(16+竜+14+14+(14+竜+9+10+11),14),14</v>
      </c>
      <c r="AL69" s="4" t="s">
        <v>1354</v>
      </c>
      <c r="AM69" s="4">
        <v>20</v>
      </c>
      <c r="AN69" s="4">
        <v>107426</v>
      </c>
      <c r="AO69" s="4">
        <v>77796</v>
      </c>
      <c r="AP69" s="4" t="s">
        <v>1693</v>
      </c>
      <c r="AQ69" s="4" t="s">
        <v>2216</v>
      </c>
    </row>
    <row r="70" spans="1:43">
      <c r="A70" s="4">
        <v>67075</v>
      </c>
      <c r="B70" s="4" t="s">
        <v>1351</v>
      </c>
      <c r="C70" s="4" t="s">
        <v>295</v>
      </c>
      <c r="D70" s="5" t="s">
        <v>1696</v>
      </c>
      <c r="E70" s="6" t="str">
        <f>HYPERLINK("https://stat100.ameba.jp/tnk47/ratio20/illustrations/card/ill_67075_minamotononoriyori05.jpg", "■")</f>
        <v>■</v>
      </c>
      <c r="F70" s="4" t="s">
        <v>1697</v>
      </c>
      <c r="X70" s="4" t="s">
        <v>2113</v>
      </c>
      <c r="Y70" s="4" t="s">
        <v>2113</v>
      </c>
      <c r="Z70" s="4" t="s">
        <v>2113</v>
      </c>
      <c r="AA70" s="21" t="s">
        <v>2113</v>
      </c>
      <c r="AB70" s="39" t="s">
        <v>2113</v>
      </c>
      <c r="AC70" s="42" t="s">
        <v>2113</v>
      </c>
      <c r="AD70" s="55" t="s">
        <v>2113</v>
      </c>
      <c r="AK70" s="4" t="str">
        <f>'5進化ガチャ'!U58</f>
        <v>18+竜+竜+14+(16+竜+9+10+(10+9+10+10+10)),10</v>
      </c>
      <c r="AL70" s="4" t="s">
        <v>1354</v>
      </c>
      <c r="AM70" s="4">
        <v>21</v>
      </c>
      <c r="AN70" s="4">
        <v>108811</v>
      </c>
      <c r="AO70" s="4">
        <v>150278</v>
      </c>
      <c r="AP70" s="4" t="s">
        <v>1699</v>
      </c>
      <c r="AQ70" s="4" t="s">
        <v>1700</v>
      </c>
    </row>
    <row r="71" spans="1:43">
      <c r="A71" s="4">
        <v>67065</v>
      </c>
      <c r="B71" s="4" t="s">
        <v>1441</v>
      </c>
      <c r="C71" s="4" t="s">
        <v>468</v>
      </c>
      <c r="D71" s="5" t="s">
        <v>1701</v>
      </c>
      <c r="E71" s="6" t="str">
        <f>HYPERLINK("https://stat100.ameba.jp/tnk47/ratio20/illustrations/card/ill_67065_kanoeitoku05.jpg", "■")</f>
        <v>■</v>
      </c>
      <c r="F71" s="4" t="s">
        <v>1702</v>
      </c>
      <c r="X71" s="4" t="s">
        <v>2113</v>
      </c>
      <c r="Y71" s="4" t="s">
        <v>2113</v>
      </c>
      <c r="Z71" s="4" t="s">
        <v>2113</v>
      </c>
      <c r="AA71" s="21" t="s">
        <v>2113</v>
      </c>
      <c r="AB71" s="39" t="s">
        <v>2113</v>
      </c>
      <c r="AC71" s="42" t="s">
        <v>2113</v>
      </c>
      <c r="AD71" s="55" t="s">
        <v>2113</v>
      </c>
      <c r="AK71" s="4" t="str">
        <f>'5進化ガチャ'!U59</f>
        <v>18+竜+14+14+(15(14↑)+竜+竜+竜+(10+9)),14,16,17</v>
      </c>
      <c r="AL71" s="4" t="s">
        <v>1354</v>
      </c>
      <c r="AM71" s="4">
        <v>20</v>
      </c>
      <c r="AN71" s="4">
        <v>70690</v>
      </c>
      <c r="AO71" s="4">
        <v>97632</v>
      </c>
      <c r="AP71" s="4" t="s">
        <v>1704</v>
      </c>
      <c r="AQ71" s="4" t="s">
        <v>1328</v>
      </c>
    </row>
    <row r="72" spans="1:43">
      <c r="A72" s="4">
        <v>67895</v>
      </c>
      <c r="B72" s="4" t="s">
        <v>1351</v>
      </c>
      <c r="C72" s="4" t="s">
        <v>248</v>
      </c>
      <c r="D72" s="5" t="s">
        <v>1706</v>
      </c>
      <c r="E72" s="6" t="str">
        <f>HYPERLINK("https://stat100.ameba.jp/tnk47/ratio20/illustrations/card/ill_67895_misonikomiudon05.jpg", "■")</f>
        <v>■</v>
      </c>
      <c r="F72" s="4" t="s">
        <v>1707</v>
      </c>
      <c r="Y72" s="4" t="s">
        <v>2113</v>
      </c>
      <c r="Z72" s="4" t="s">
        <v>2113</v>
      </c>
      <c r="AA72" s="21" t="s">
        <v>2113</v>
      </c>
      <c r="AB72" s="39" t="s">
        <v>2113</v>
      </c>
      <c r="AC72" s="42" t="s">
        <v>2113</v>
      </c>
      <c r="AD72" s="55" t="s">
        <v>2113</v>
      </c>
      <c r="AE72" s="73" t="s">
        <v>2113</v>
      </c>
      <c r="AF72" s="67" t="s">
        <v>2113</v>
      </c>
      <c r="AK72" s="4" t="str">
        <f>'5進化ガチャ'!U60</f>
        <v>18+竜+竜+14+(14+竜+9+10+(10+9)),16,14,17,18 処18</v>
      </c>
      <c r="AL72" s="4" t="s">
        <v>1354</v>
      </c>
      <c r="AM72" s="4">
        <v>21</v>
      </c>
      <c r="AN72" s="4">
        <v>90777</v>
      </c>
      <c r="AO72" s="4">
        <v>125367</v>
      </c>
      <c r="AP72" s="4" t="s">
        <v>1708</v>
      </c>
      <c r="AQ72" s="4" t="s">
        <v>1709</v>
      </c>
    </row>
    <row r="73" spans="1:43">
      <c r="A73" s="4">
        <v>67915</v>
      </c>
      <c r="B73" s="4" t="s">
        <v>1351</v>
      </c>
      <c r="C73" s="4" t="s">
        <v>203</v>
      </c>
      <c r="D73" s="5" t="s">
        <v>1711</v>
      </c>
      <c r="E73" s="6" t="str">
        <f>HYPERLINK("https://stat100.ameba.jp/tnk47/ratio20/illustrations/card/ill_67915_kyokuteibakin05.jpg", "■")</f>
        <v>■</v>
      </c>
      <c r="F73" s="4" t="s">
        <v>1712</v>
      </c>
      <c r="Y73" s="4" t="s">
        <v>2113</v>
      </c>
      <c r="Z73" s="4" t="s">
        <v>2113</v>
      </c>
      <c r="AA73" s="21" t="s">
        <v>2113</v>
      </c>
      <c r="AB73" s="39" t="s">
        <v>2113</v>
      </c>
      <c r="AC73" s="42" t="s">
        <v>2113</v>
      </c>
      <c r="AD73" s="55" t="s">
        <v>2113</v>
      </c>
      <c r="AE73" s="73" t="s">
        <v>2113</v>
      </c>
      <c r="AF73" s="67" t="s">
        <v>2113</v>
      </c>
      <c r="AK73" s="4" t="str">
        <f>'5進化ガチャ'!U61</f>
        <v>20+竜+竜+竜+(16+竜+14+15+(14+10+10+11+(14+9+10+10+14),9,9))</v>
      </c>
      <c r="AL73" s="4" t="s">
        <v>1354</v>
      </c>
      <c r="AM73" s="4">
        <v>21</v>
      </c>
      <c r="AN73" s="4">
        <v>102515</v>
      </c>
      <c r="AO73" s="4">
        <v>74225</v>
      </c>
      <c r="AP73" s="4" t="s">
        <v>1714</v>
      </c>
      <c r="AQ73" s="4" t="s">
        <v>1715</v>
      </c>
    </row>
    <row r="74" spans="1:43">
      <c r="A74" s="4">
        <v>68645</v>
      </c>
      <c r="B74" s="4" t="s">
        <v>1441</v>
      </c>
      <c r="C74" s="4" t="s">
        <v>242</v>
      </c>
      <c r="D74" s="5" t="s">
        <v>1723</v>
      </c>
      <c r="E74" s="6" t="str">
        <f>HYPERLINK("https://stat100.ameba.jp/tnk47/ratio20/illustrations/card/ill_68645_miminashihoichi05.jpg", "■")</f>
        <v>■</v>
      </c>
      <c r="F74" s="4" t="s">
        <v>1724</v>
      </c>
      <c r="Y74" s="4" t="s">
        <v>2113</v>
      </c>
      <c r="Z74" s="4" t="s">
        <v>2113</v>
      </c>
      <c r="AA74" s="21" t="s">
        <v>2113</v>
      </c>
      <c r="AB74" s="39" t="s">
        <v>2113</v>
      </c>
      <c r="AC74" s="42" t="s">
        <v>2113</v>
      </c>
      <c r="AD74" s="55" t="s">
        <v>2113</v>
      </c>
      <c r="AE74" s="73" t="s">
        <v>2113</v>
      </c>
      <c r="AF74" s="67" t="s">
        <v>2113</v>
      </c>
      <c r="AK74" s="4" t="str">
        <f>'5進化ガチャ'!U65</f>
        <v>16+竜+竜+竜+16,14</v>
      </c>
      <c r="AL74" s="20" t="s">
        <v>1354</v>
      </c>
      <c r="AM74" s="4">
        <v>21</v>
      </c>
      <c r="AN74" s="4">
        <v>87631</v>
      </c>
      <c r="AO74" s="4">
        <v>121049</v>
      </c>
      <c r="AP74" s="4" t="s">
        <v>1725</v>
      </c>
      <c r="AQ74" s="4" t="s">
        <v>1726</v>
      </c>
    </row>
    <row r="75" spans="1:43">
      <c r="A75" s="4">
        <v>68655</v>
      </c>
      <c r="B75" s="4" t="s">
        <v>1734</v>
      </c>
      <c r="C75" s="4" t="s">
        <v>248</v>
      </c>
      <c r="D75" s="5" t="s">
        <v>1735</v>
      </c>
      <c r="E75" s="6" t="str">
        <f>HYPERLINK("https://stat100.ameba.jp/tnk47/ratio20/illustrations/card/ill_68655_hariharinabe05.jpg", "■")</f>
        <v>■</v>
      </c>
      <c r="F75" s="4" t="s">
        <v>1736</v>
      </c>
      <c r="Z75" s="4" t="s">
        <v>2113</v>
      </c>
      <c r="AA75" s="21" t="s">
        <v>2113</v>
      </c>
      <c r="AB75" s="39" t="s">
        <v>2113</v>
      </c>
      <c r="AC75" s="42" t="s">
        <v>2113</v>
      </c>
      <c r="AD75" s="55" t="s">
        <v>2113</v>
      </c>
      <c r="AE75" s="73" t="s">
        <v>2113</v>
      </c>
      <c r="AF75" s="67" t="s">
        <v>2113</v>
      </c>
      <c r="AG75" s="90" t="s">
        <v>2113</v>
      </c>
      <c r="AH75" s="90" t="s">
        <v>2113</v>
      </c>
      <c r="AI75" s="89" t="s">
        <v>2113</v>
      </c>
      <c r="AJ75" s="99" t="s">
        <v>2113</v>
      </c>
      <c r="AK75" s="4" t="str">
        <f>'5進化ガチャ'!U67</f>
        <v>19+竜+13+15+(17+竜+12+14+16),14</v>
      </c>
      <c r="AL75" s="4" t="s">
        <v>1354</v>
      </c>
      <c r="AM75" s="4">
        <v>21</v>
      </c>
      <c r="AN75" s="4">
        <v>105332</v>
      </c>
      <c r="AO75" s="4">
        <v>76280</v>
      </c>
      <c r="AP75" s="4" t="s">
        <v>1738</v>
      </c>
      <c r="AQ75" s="4" t="s">
        <v>1739</v>
      </c>
    </row>
    <row r="76" spans="1:43">
      <c r="A76" s="4">
        <v>55735</v>
      </c>
      <c r="B76" s="4" t="s">
        <v>1351</v>
      </c>
      <c r="C76" s="4" t="s">
        <v>272</v>
      </c>
      <c r="D76" s="5" t="s">
        <v>1752</v>
      </c>
      <c r="E76" s="6" t="str">
        <f>HYPERLINK("https://stat100.ameba.jp/tnk47/ratio20/illustrations/card/ill_55735_egawahidetatsu05.jpg", "■")</f>
        <v>■</v>
      </c>
      <c r="F76" s="4" t="s">
        <v>1753</v>
      </c>
      <c r="Z76" s="4" t="s">
        <v>2113</v>
      </c>
      <c r="AA76" s="21" t="s">
        <v>2113</v>
      </c>
      <c r="AB76" s="39" t="s">
        <v>2113</v>
      </c>
      <c r="AC76" s="42" t="s">
        <v>2113</v>
      </c>
      <c r="AD76" s="55" t="s">
        <v>2113</v>
      </c>
      <c r="AE76" s="73" t="s">
        <v>2113</v>
      </c>
      <c r="AF76" s="67" t="s">
        <v>2113</v>
      </c>
      <c r="AG76" s="90" t="s">
        <v>2113</v>
      </c>
      <c r="AH76" s="90" t="s">
        <v>2113</v>
      </c>
      <c r="AI76" s="89" t="s">
        <v>2113</v>
      </c>
      <c r="AJ76" s="99" t="s">
        <v>2113</v>
      </c>
      <c r="AK76" s="4" t="str">
        <f>'5進化ガチャ'!U70</f>
        <v>18+竜+竜+竜+(14+10+9+10+(10+9+9+10+10)),14,15</v>
      </c>
      <c r="AL76" s="4" t="s">
        <v>1354</v>
      </c>
      <c r="AM76" s="4">
        <v>21</v>
      </c>
      <c r="AN76" s="4">
        <v>108811</v>
      </c>
      <c r="AO76" s="4">
        <v>150278</v>
      </c>
      <c r="AP76" s="4" t="s">
        <v>1755</v>
      </c>
      <c r="AQ76" s="4" t="s">
        <v>1756</v>
      </c>
    </row>
    <row r="77" spans="1:43">
      <c r="A77" s="4">
        <v>70335</v>
      </c>
      <c r="B77" s="4" t="s">
        <v>1441</v>
      </c>
      <c r="C77" s="4" t="s">
        <v>295</v>
      </c>
      <c r="D77" s="5" t="s">
        <v>1758</v>
      </c>
      <c r="E77" s="6" t="str">
        <f>HYPERLINK("https://stat100.ameba.jp/tnk47/ratio20/illustrations/card/ill_70335_kusakagenzui05.jpg", "■")</f>
        <v>■</v>
      </c>
      <c r="F77" s="4" t="s">
        <v>1759</v>
      </c>
      <c r="Z77" s="4" t="s">
        <v>2113</v>
      </c>
      <c r="AA77" s="21" t="s">
        <v>2113</v>
      </c>
      <c r="AB77" s="39" t="s">
        <v>2113</v>
      </c>
      <c r="AC77" s="42" t="s">
        <v>2113</v>
      </c>
      <c r="AD77" s="55" t="s">
        <v>2113</v>
      </c>
      <c r="AE77" s="73" t="s">
        <v>2113</v>
      </c>
      <c r="AF77" s="67" t="s">
        <v>2113</v>
      </c>
      <c r="AG77" s="90" t="s">
        <v>2113</v>
      </c>
      <c r="AH77" s="90" t="s">
        <v>2113</v>
      </c>
      <c r="AI77" s="89" t="s">
        <v>2113</v>
      </c>
      <c r="AJ77" s="99" t="s">
        <v>2113</v>
      </c>
      <c r="AK77" s="4" t="str">
        <f>'5進化ガチャ'!U71</f>
        <v>19+竜+竜+竜+16</v>
      </c>
      <c r="AL77" s="4" t="s">
        <v>1354</v>
      </c>
      <c r="AM77" s="4">
        <v>21</v>
      </c>
      <c r="AN77" s="4">
        <v>80088</v>
      </c>
      <c r="AO77" s="4">
        <v>110589</v>
      </c>
      <c r="AP77" s="4" t="s">
        <v>1761</v>
      </c>
      <c r="AQ77" s="4" t="s">
        <v>1762</v>
      </c>
    </row>
    <row r="78" spans="1:43">
      <c r="A78" s="21">
        <v>58985</v>
      </c>
      <c r="B78" s="21" t="s">
        <v>1351</v>
      </c>
      <c r="C78" s="21" t="s">
        <v>216</v>
      </c>
      <c r="D78" s="5" t="s">
        <v>1764</v>
      </c>
      <c r="E78" s="6" t="str">
        <f>HYPERLINK("https://stat100.ameba.jp/tnk47/ratio20/illustrations/card/ill_58985_nanachanningyo05.jpg", "■")</f>
        <v>■</v>
      </c>
      <c r="F78" s="39" t="s">
        <v>1765</v>
      </c>
      <c r="AA78" s="21" t="s">
        <v>2113</v>
      </c>
      <c r="AB78" s="39" t="s">
        <v>2113</v>
      </c>
      <c r="AC78" s="42" t="s">
        <v>2113</v>
      </c>
      <c r="AD78" s="55" t="s">
        <v>2113</v>
      </c>
      <c r="AE78" s="73" t="s">
        <v>2113</v>
      </c>
      <c r="AF78" s="67" t="s">
        <v>2113</v>
      </c>
      <c r="AG78" s="90" t="s">
        <v>2113</v>
      </c>
      <c r="AH78" s="90" t="s">
        <v>2113</v>
      </c>
      <c r="AI78" s="89" t="s">
        <v>2113</v>
      </c>
      <c r="AJ78" s="99" t="s">
        <v>2113</v>
      </c>
      <c r="AK78" s="4" t="str">
        <f>'5進化ガチャ'!U72</f>
        <v>21+14+15+16+(19+14+15+16+17),14,14,14,14</v>
      </c>
      <c r="AL78" s="21" t="s">
        <v>1354</v>
      </c>
      <c r="AM78" s="21">
        <v>21</v>
      </c>
      <c r="AN78" s="21">
        <v>115636</v>
      </c>
      <c r="AO78" s="21">
        <v>83723</v>
      </c>
      <c r="AP78" s="21" t="s">
        <v>1767</v>
      </c>
      <c r="AQ78" s="21" t="s">
        <v>1768</v>
      </c>
    </row>
    <row r="79" spans="1:43">
      <c r="A79" s="21">
        <v>59805</v>
      </c>
      <c r="B79" s="21" t="s">
        <v>1441</v>
      </c>
      <c r="C79" s="21" t="s">
        <v>248</v>
      </c>
      <c r="D79" s="5" t="s">
        <v>1769</v>
      </c>
      <c r="E79" s="6" t="str">
        <f>HYPERLINK("https://stat100.ameba.jp/tnk47/ratio20/illustrations/card/ill_59805_mikanhachimitsuchan05.jpg", "■")</f>
        <v>■</v>
      </c>
      <c r="F79" s="39" t="s">
        <v>1770</v>
      </c>
      <c r="AA79" s="21" t="s">
        <v>2113</v>
      </c>
      <c r="AB79" s="39" t="s">
        <v>2113</v>
      </c>
      <c r="AC79" s="42" t="s">
        <v>2113</v>
      </c>
      <c r="AD79" s="55" t="s">
        <v>2113</v>
      </c>
      <c r="AE79" s="73" t="s">
        <v>2113</v>
      </c>
      <c r="AF79" s="67" t="s">
        <v>2113</v>
      </c>
      <c r="AG79" s="90" t="s">
        <v>2113</v>
      </c>
      <c r="AH79" s="90" t="s">
        <v>2113</v>
      </c>
      <c r="AI79" s="89" t="s">
        <v>2113</v>
      </c>
      <c r="AJ79" s="99" t="s">
        <v>2113</v>
      </c>
      <c r="AK79" s="4" t="str">
        <f>'5進化ガチャ'!U73</f>
        <v>16+竜+竜+竜+16,10</v>
      </c>
      <c r="AL79" s="21" t="s">
        <v>1354</v>
      </c>
      <c r="AM79" s="21">
        <v>21</v>
      </c>
      <c r="AN79" s="21">
        <v>86463</v>
      </c>
      <c r="AO79" s="21">
        <v>119400</v>
      </c>
      <c r="AP79" s="21" t="s">
        <v>1772</v>
      </c>
      <c r="AQ79" s="21" t="s">
        <v>1773</v>
      </c>
    </row>
    <row r="80" spans="1:43">
      <c r="A80" s="21">
        <v>71265</v>
      </c>
      <c r="B80" s="21" t="s">
        <v>1351</v>
      </c>
      <c r="C80" s="21" t="s">
        <v>295</v>
      </c>
      <c r="D80" s="5" t="s">
        <v>1775</v>
      </c>
      <c r="E80" s="6" t="str">
        <f>HYPERLINK("https://stat100.ameba.jp/tnk47/ratio20/illustrations/card/ill_71265_kisoyoshinaka05.jpg", "■")</f>
        <v>■</v>
      </c>
      <c r="F80" s="39" t="s">
        <v>1776</v>
      </c>
      <c r="AA80" s="21" t="s">
        <v>2113</v>
      </c>
      <c r="AB80" s="39" t="s">
        <v>2113</v>
      </c>
      <c r="AC80" s="42" t="s">
        <v>2113</v>
      </c>
      <c r="AD80" s="55" t="s">
        <v>2113</v>
      </c>
      <c r="AE80" s="73" t="s">
        <v>2113</v>
      </c>
      <c r="AF80" s="67" t="s">
        <v>2113</v>
      </c>
      <c r="AG80" s="90" t="s">
        <v>2113</v>
      </c>
      <c r="AH80" s="90" t="s">
        <v>2113</v>
      </c>
      <c r="AI80" s="89" t="s">
        <v>2113</v>
      </c>
      <c r="AJ80" s="99" t="s">
        <v>2113</v>
      </c>
      <c r="AK80" s="4" t="str">
        <f>'5進化ガチャ'!U74</f>
        <v>18+10+14+14+(16+10+11+14+16)</v>
      </c>
      <c r="AL80" s="21" t="s">
        <v>1354</v>
      </c>
      <c r="AM80" s="21">
        <v>21</v>
      </c>
      <c r="AN80" s="21">
        <v>157769</v>
      </c>
      <c r="AO80" s="21">
        <v>114241</v>
      </c>
      <c r="AP80" s="21" t="s">
        <v>1778</v>
      </c>
      <c r="AQ80" s="21" t="s">
        <v>1779</v>
      </c>
    </row>
    <row r="81" spans="1:43">
      <c r="A81" s="39">
        <v>71285</v>
      </c>
      <c r="B81" s="39" t="s">
        <v>1441</v>
      </c>
      <c r="C81" s="39" t="s">
        <v>267</v>
      </c>
      <c r="D81" s="28" t="s">
        <v>1781</v>
      </c>
      <c r="E81" s="25" t="str">
        <f>HYPERLINK("https://stat100.ameba.jp/tnk47/ratio20/illustrations/card/ill_71285_amenowakahiko05.jpg", "■")</f>
        <v>■</v>
      </c>
      <c r="F81" s="39" t="s">
        <v>1782</v>
      </c>
      <c r="AB81" s="39" t="s">
        <v>2113</v>
      </c>
      <c r="AC81" s="42" t="s">
        <v>2113</v>
      </c>
      <c r="AD81" s="55" t="s">
        <v>2113</v>
      </c>
      <c r="AE81" s="73" t="s">
        <v>2113</v>
      </c>
      <c r="AF81" s="67" t="s">
        <v>2113</v>
      </c>
      <c r="AG81" s="90" t="s">
        <v>2113</v>
      </c>
      <c r="AH81" s="90" t="s">
        <v>2113</v>
      </c>
      <c r="AI81" s="89" t="s">
        <v>2113</v>
      </c>
      <c r="AJ81" s="99" t="s">
        <v>2113</v>
      </c>
      <c r="AK81" s="4" t="str">
        <f>'5進化ガチャ'!U75</f>
        <v>16+10+11+11+(12+10+10+11+12),15</v>
      </c>
      <c r="AL81" s="39" t="s">
        <v>1354</v>
      </c>
      <c r="AM81" s="39">
        <v>21</v>
      </c>
      <c r="AN81" s="39">
        <v>59468</v>
      </c>
      <c r="AO81" s="39">
        <v>82133</v>
      </c>
      <c r="AP81" s="39" t="s">
        <v>1784</v>
      </c>
      <c r="AQ81" s="39" t="s">
        <v>1785</v>
      </c>
    </row>
    <row r="82" spans="1:43">
      <c r="A82" s="39">
        <v>71275</v>
      </c>
      <c r="B82" s="39" t="s">
        <v>1351</v>
      </c>
      <c r="C82" s="39" t="s">
        <v>242</v>
      </c>
      <c r="D82" s="28" t="s">
        <v>1786</v>
      </c>
      <c r="E82" s="25" t="str">
        <f>HYPERLINK("https://stat100.ameba.jp/tnk47/ratio20/illustrations/card/ill_71275_usagitokame05.jpg", "■")</f>
        <v>■</v>
      </c>
      <c r="F82" s="39" t="s">
        <v>1786</v>
      </c>
      <c r="AB82" s="39" t="s">
        <v>2113</v>
      </c>
      <c r="AC82" s="42" t="s">
        <v>2113</v>
      </c>
      <c r="AD82" s="55" t="s">
        <v>2113</v>
      </c>
      <c r="AE82" s="73" t="s">
        <v>2113</v>
      </c>
      <c r="AF82" s="67" t="s">
        <v>2113</v>
      </c>
      <c r="AG82" s="90" t="s">
        <v>2113</v>
      </c>
      <c r="AH82" s="90" t="s">
        <v>2113</v>
      </c>
      <c r="AI82" s="89" t="s">
        <v>2113</v>
      </c>
      <c r="AJ82" s="99" t="s">
        <v>2113</v>
      </c>
      <c r="AK82" s="4" t="str">
        <f>'5進化ガチャ'!U76</f>
        <v>19+竜+竜+15+(16+11+10+10+(11+10+10+10+11),10)</v>
      </c>
      <c r="AL82" s="39" t="s">
        <v>1354</v>
      </c>
      <c r="AM82" s="39">
        <v>21</v>
      </c>
      <c r="AN82" s="39">
        <v>83467</v>
      </c>
      <c r="AO82" s="39">
        <v>115284</v>
      </c>
      <c r="AP82" s="39" t="s">
        <v>1788</v>
      </c>
      <c r="AQ82" s="39" t="s">
        <v>1789</v>
      </c>
    </row>
    <row r="83" spans="1:43">
      <c r="A83" s="39">
        <v>72125</v>
      </c>
      <c r="B83" s="39" t="s">
        <v>1441</v>
      </c>
      <c r="C83" s="39" t="s">
        <v>272</v>
      </c>
      <c r="D83" s="28" t="s">
        <v>1797</v>
      </c>
      <c r="E83" s="25" t="str">
        <f>HYPERLINK("https://stat100.ameba.jp/tnk47/ratio20/illustrations/card/ill_72125_hayashirazan05.jpg", "■")</f>
        <v>■</v>
      </c>
      <c r="F83" s="39" t="s">
        <v>1798</v>
      </c>
      <c r="AB83" s="39" t="s">
        <v>2113</v>
      </c>
      <c r="AC83" s="42" t="s">
        <v>2113</v>
      </c>
      <c r="AD83" s="55" t="s">
        <v>2113</v>
      </c>
      <c r="AE83" s="73" t="s">
        <v>2113</v>
      </c>
      <c r="AF83" s="67" t="s">
        <v>2113</v>
      </c>
      <c r="AG83" s="90" t="s">
        <v>2113</v>
      </c>
      <c r="AH83" s="90" t="s">
        <v>2113</v>
      </c>
      <c r="AI83" s="89" t="s">
        <v>2113</v>
      </c>
      <c r="AJ83" s="99" t="s">
        <v>2113</v>
      </c>
      <c r="AK83" s="4" t="str">
        <f>'5進化ガチャ'!U78</f>
        <v>15+竜+竜+竜+(14+10+10+11+?),10,10,11,14</v>
      </c>
      <c r="AL83" s="39" t="s">
        <v>1354</v>
      </c>
      <c r="AM83" s="39">
        <v>21</v>
      </c>
      <c r="AN83" s="39">
        <v>115284</v>
      </c>
      <c r="AO83" s="39">
        <v>83467</v>
      </c>
      <c r="AP83" s="39" t="s">
        <v>1800</v>
      </c>
      <c r="AQ83" s="39" t="s">
        <v>1801</v>
      </c>
    </row>
    <row r="84" spans="1:43">
      <c r="A84" s="42">
        <v>72115</v>
      </c>
      <c r="B84" s="42" t="s">
        <v>1441</v>
      </c>
      <c r="C84" s="42" t="s">
        <v>242</v>
      </c>
      <c r="D84" s="28" t="s">
        <v>1802</v>
      </c>
      <c r="E84" s="25" t="str">
        <f>HYPERLINK("https://stat100.ameba.jp/tnk47/ratio20/illustrations/card/ill_72115_yamainunyobo05.jpg", "■")</f>
        <v>■</v>
      </c>
      <c r="F84" s="42" t="s">
        <v>1803</v>
      </c>
      <c r="AC84" s="42" t="s">
        <v>2113</v>
      </c>
      <c r="AD84" s="55" t="s">
        <v>2113</v>
      </c>
      <c r="AE84" s="73" t="s">
        <v>2113</v>
      </c>
      <c r="AF84" s="67" t="s">
        <v>2113</v>
      </c>
      <c r="AG84" s="90" t="s">
        <v>2113</v>
      </c>
      <c r="AH84" s="90" t="s">
        <v>2113</v>
      </c>
      <c r="AI84" s="89" t="s">
        <v>2113</v>
      </c>
      <c r="AJ84" s="99" t="s">
        <v>2113</v>
      </c>
      <c r="AK84" s="4" t="str">
        <f>'5進化ガチャ'!U79</f>
        <v>11+10+11+11+11,10,10,10,10</v>
      </c>
      <c r="AL84" s="42" t="s">
        <v>1354</v>
      </c>
      <c r="AM84" s="42">
        <v>21</v>
      </c>
      <c r="AN84" s="42">
        <v>115284</v>
      </c>
      <c r="AO84" s="42">
        <v>83467</v>
      </c>
      <c r="AP84" s="42" t="s">
        <v>1805</v>
      </c>
      <c r="AQ84" s="42" t="s">
        <v>1806</v>
      </c>
    </row>
    <row r="85" spans="1:43">
      <c r="A85" s="42">
        <v>72135</v>
      </c>
      <c r="B85" s="42" t="s">
        <v>1351</v>
      </c>
      <c r="C85" s="42" t="s">
        <v>203</v>
      </c>
      <c r="D85" s="28" t="s">
        <v>1791</v>
      </c>
      <c r="E85" s="25" t="str">
        <f>HYPERLINK("https://stat100.ameba.jp/tnk47/ratio20/illustrations/card/ill_72135_murayamasakon05.jpg", "■")</f>
        <v>■</v>
      </c>
      <c r="F85" s="42" t="s">
        <v>1792</v>
      </c>
      <c r="AC85" s="42" t="s">
        <v>2113</v>
      </c>
      <c r="AD85" s="55" t="s">
        <v>2113</v>
      </c>
      <c r="AE85" s="73" t="s">
        <v>2113</v>
      </c>
      <c r="AF85" s="67" t="s">
        <v>2113</v>
      </c>
      <c r="AG85" s="90" t="s">
        <v>2113</v>
      </c>
      <c r="AH85" s="90" t="s">
        <v>2113</v>
      </c>
      <c r="AI85" s="89" t="s">
        <v>2113</v>
      </c>
      <c r="AJ85" s="99" t="s">
        <v>2113</v>
      </c>
      <c r="AK85" s="4" t="str">
        <f>'5進化ガチャ'!U77</f>
        <v>16+竜+竜+竜+(14+10+11+10+11),14,14,15</v>
      </c>
      <c r="AL85" s="42" t="s">
        <v>1354</v>
      </c>
      <c r="AM85" s="42">
        <v>21</v>
      </c>
      <c r="AN85" s="42">
        <v>74225</v>
      </c>
      <c r="AO85" s="42">
        <v>102515</v>
      </c>
      <c r="AP85" s="42" t="s">
        <v>1794</v>
      </c>
      <c r="AQ85" s="42" t="s">
        <v>1795</v>
      </c>
    </row>
    <row r="86" spans="1:43">
      <c r="A86" s="42">
        <v>73055</v>
      </c>
      <c r="B86" s="42" t="s">
        <v>1351</v>
      </c>
      <c r="C86" s="42" t="s">
        <v>302</v>
      </c>
      <c r="D86" s="28" t="s">
        <v>1818</v>
      </c>
      <c r="E86" s="25" t="str">
        <f>HYPERLINK("https://stat100.ameba.jp/tnk47/ratio20/illustrations/card/ill_73055_tengubi05.jpg", "■")</f>
        <v>■</v>
      </c>
      <c r="F86" s="42" t="s">
        <v>1819</v>
      </c>
      <c r="AC86" s="42" t="s">
        <v>2113</v>
      </c>
      <c r="AD86" s="55" t="s">
        <v>2113</v>
      </c>
      <c r="AE86" s="73" t="s">
        <v>2113</v>
      </c>
      <c r="AF86" s="67" t="s">
        <v>2113</v>
      </c>
      <c r="AG86" s="90" t="s">
        <v>2113</v>
      </c>
      <c r="AH86" s="90" t="s">
        <v>2113</v>
      </c>
      <c r="AI86" s="89" t="s">
        <v>2113</v>
      </c>
      <c r="AJ86" s="99" t="s">
        <v>2113</v>
      </c>
      <c r="AK86" s="4" t="str">
        <f>'5進化ガチャ'!U82</f>
        <v>17+竜+11+(11+10)+(16(15↑)+竜+11+11+15),10,10,11,11</v>
      </c>
      <c r="AL86" s="42" t="s">
        <v>1354</v>
      </c>
      <c r="AM86" s="42">
        <v>22</v>
      </c>
      <c r="AN86" s="42">
        <v>49558</v>
      </c>
      <c r="AO86" s="42">
        <v>68446</v>
      </c>
      <c r="AP86" s="42" t="s">
        <v>1821</v>
      </c>
      <c r="AQ86" s="42" t="s">
        <v>1822</v>
      </c>
    </row>
    <row r="87" spans="1:43">
      <c r="A87" s="55">
        <v>73855</v>
      </c>
      <c r="B87" s="55" t="s">
        <v>1351</v>
      </c>
      <c r="C87" s="55" t="s">
        <v>272</v>
      </c>
      <c r="D87" s="28" t="s">
        <v>1830</v>
      </c>
      <c r="E87" s="25" t="str">
        <f>HYPERLINK("https://stat100.ameba.jp/tnk47/ratio20/illustrations/card/ill_73855_hirayamanarinobu05.jpg", "■")</f>
        <v>■</v>
      </c>
      <c r="F87" s="55" t="s">
        <v>1831</v>
      </c>
      <c r="AD87" s="55" t="s">
        <v>2113</v>
      </c>
      <c r="AE87" s="73" t="s">
        <v>2113</v>
      </c>
      <c r="AF87" s="67" t="s">
        <v>2113</v>
      </c>
      <c r="AG87" s="90" t="s">
        <v>2113</v>
      </c>
      <c r="AK87" s="4" t="str">
        <f>'5進化ガチャ'!U84</f>
        <v>20+竜+竜+竜+(17+竜+11+11+(14+竜+10+11+11),11,11),14,15,16,16</v>
      </c>
      <c r="AL87" s="55" t="s">
        <v>1354</v>
      </c>
      <c r="AM87" s="55">
        <v>21</v>
      </c>
      <c r="AN87" s="55">
        <v>150278</v>
      </c>
      <c r="AO87" s="55">
        <v>108811</v>
      </c>
      <c r="AP87" s="55" t="s">
        <v>1833</v>
      </c>
      <c r="AQ87" s="55" t="s">
        <v>1834</v>
      </c>
    </row>
    <row r="88" spans="1:43">
      <c r="A88" s="55">
        <v>73865</v>
      </c>
      <c r="B88" s="55" t="s">
        <v>1441</v>
      </c>
      <c r="C88" s="55" t="s">
        <v>302</v>
      </c>
      <c r="D88" s="28" t="s">
        <v>1835</v>
      </c>
      <c r="E88" s="25" t="str">
        <f>HYPERLINK("https://stat100.ameba.jp/tnk47/ratio20/illustrations/card/ill_73865_nyunaisuzume05.jpg", "■")</f>
        <v>■</v>
      </c>
      <c r="F88" s="55" t="s">
        <v>1836</v>
      </c>
      <c r="AD88" s="55" t="s">
        <v>2113</v>
      </c>
      <c r="AE88" s="73" t="s">
        <v>2113</v>
      </c>
      <c r="AF88" s="67" t="s">
        <v>2113</v>
      </c>
      <c r="AG88" s="90" t="s">
        <v>2113</v>
      </c>
      <c r="AK88" s="4" t="str">
        <f>'5進化ガチャ'!U85</f>
        <v>16+竜+竜+竜+(15+11+11+11+(12+竜+10+11+(11+10))),10,10,11,14</v>
      </c>
      <c r="AL88" s="55" t="s">
        <v>1354</v>
      </c>
      <c r="AM88" s="55">
        <v>21</v>
      </c>
      <c r="AN88" s="55">
        <v>47305</v>
      </c>
      <c r="AO88" s="55">
        <v>65335</v>
      </c>
      <c r="AP88" s="55" t="s">
        <v>1838</v>
      </c>
      <c r="AQ88" s="55" t="s">
        <v>1839</v>
      </c>
    </row>
    <row r="89" spans="1:43">
      <c r="A89" s="55">
        <v>75035</v>
      </c>
      <c r="B89" s="55" t="s">
        <v>1441</v>
      </c>
      <c r="C89" s="55" t="s">
        <v>272</v>
      </c>
      <c r="D89" s="28" t="s">
        <v>1841</v>
      </c>
      <c r="E89" s="25" t="str">
        <f>HYPERLINK("https://stat100.ameba.jp/tnk47/ratio20/illustrations/card/ill_75035_mutsumunemitsu05.jpg", "■")</f>
        <v>■</v>
      </c>
      <c r="F89" s="55" t="s">
        <v>1842</v>
      </c>
      <c r="AD89" s="55" t="s">
        <v>2113</v>
      </c>
      <c r="AE89" s="73" t="s">
        <v>2113</v>
      </c>
      <c r="AF89" s="67" t="s">
        <v>2113</v>
      </c>
      <c r="AG89" s="90" t="s">
        <v>2113</v>
      </c>
      <c r="AK89" s="4" t="str">
        <f>'5進化ガチャ'!U86</f>
        <v>17+竜+竜+10+(15+竜+竜+10+15),14</v>
      </c>
      <c r="AL89" s="55" t="s">
        <v>1354</v>
      </c>
      <c r="AM89" s="55">
        <v>21</v>
      </c>
      <c r="AN89" s="55">
        <v>103652</v>
      </c>
      <c r="AO89" s="55">
        <v>75039</v>
      </c>
      <c r="AP89" s="55" t="s">
        <v>1844</v>
      </c>
      <c r="AQ89" s="55" t="s">
        <v>1845</v>
      </c>
    </row>
    <row r="90" spans="1:43">
      <c r="A90" s="89">
        <v>78805</v>
      </c>
      <c r="B90" s="89" t="s">
        <v>1351</v>
      </c>
      <c r="C90" s="89" t="s">
        <v>101</v>
      </c>
      <c r="D90" s="28" t="s">
        <v>1915</v>
      </c>
      <c r="E90" s="25" t="str">
        <f>HYPERLINK("https://stat100.ameba.jp/tnk47/ratio20/illustrations/card/ill_78805_waishatsuakaiteruko05.jpg", "■")</f>
        <v>■</v>
      </c>
      <c r="F90" s="89" t="s">
        <v>1916</v>
      </c>
      <c r="AH90" s="90" t="s">
        <v>2113</v>
      </c>
      <c r="AI90" s="89" t="s">
        <v>2113</v>
      </c>
      <c r="AJ90" s="99" t="s">
        <v>2113</v>
      </c>
      <c r="AK90" s="4" t="str">
        <f>'5進化ガチャ'!U102</f>
        <v>16+竜+竜+竜+(14+竜+11+12+12),15</v>
      </c>
      <c r="AL90" s="89" t="s">
        <v>1354</v>
      </c>
      <c r="AM90" s="89">
        <v>22</v>
      </c>
      <c r="AN90" s="89">
        <v>165280</v>
      </c>
      <c r="AO90" s="89">
        <v>119682</v>
      </c>
      <c r="AP90" s="89" t="s">
        <v>1918</v>
      </c>
      <c r="AQ90" s="89" t="s">
        <v>1919</v>
      </c>
    </row>
    <row r="91" spans="1:43">
      <c r="A91" s="89">
        <v>79485</v>
      </c>
      <c r="B91" s="89" t="s">
        <v>1367</v>
      </c>
      <c r="C91" s="89" t="s">
        <v>570</v>
      </c>
      <c r="D91" s="28" t="s">
        <v>1929</v>
      </c>
      <c r="E91" s="25" t="str">
        <f>HYPERLINK("https://stat100.ameba.jp/tnk47/ratio20/illustrations/card/ill_79485_kyabinatendantokurohime05.jpg", "■")</f>
        <v>■</v>
      </c>
      <c r="F91" s="89" t="s">
        <v>1930</v>
      </c>
      <c r="AH91" s="90" t="s">
        <v>2113</v>
      </c>
      <c r="AI91" s="89" t="s">
        <v>2113</v>
      </c>
      <c r="AJ91" s="99" t="s">
        <v>2113</v>
      </c>
      <c r="AK91" s="4" t="str">
        <f>'5進化ガチャ'!U105</f>
        <v>20+竜+竜+竜+(12+竜+竜+竜+12),11,12</v>
      </c>
      <c r="AL91" s="89" t="s">
        <v>1354</v>
      </c>
      <c r="AM91" s="89">
        <v>22</v>
      </c>
      <c r="AN91" s="89">
        <v>81640</v>
      </c>
      <c r="AO91" s="89">
        <v>112746</v>
      </c>
      <c r="AP91" s="89" t="s">
        <v>1932</v>
      </c>
      <c r="AQ91" s="89" t="s">
        <v>2443</v>
      </c>
    </row>
    <row r="92" spans="1:43">
      <c r="A92" s="89">
        <v>80135</v>
      </c>
      <c r="B92" s="89" t="s">
        <v>1351</v>
      </c>
      <c r="C92" s="89" t="s">
        <v>63</v>
      </c>
      <c r="D92" s="28" t="s">
        <v>1943</v>
      </c>
      <c r="E92" s="25" t="str">
        <f>HYPERLINK("https://stat100.ameba.jp/tnk47/ratio20/illustrations/card/ill_80135_asashinsukurutemma05.jpg", "■")</f>
        <v>■</v>
      </c>
      <c r="F92" s="89" t="s">
        <v>1944</v>
      </c>
      <c r="AH92" s="90" t="s">
        <v>2113</v>
      </c>
      <c r="AI92" s="89" t="s">
        <v>2113</v>
      </c>
      <c r="AJ92" s="99" t="s">
        <v>2113</v>
      </c>
      <c r="AK92" s="4" t="str">
        <f>'5進化ガチャ'!U108</f>
        <v>ー</v>
      </c>
      <c r="AL92" s="89" t="s">
        <v>1093</v>
      </c>
      <c r="AM92" s="89">
        <v>22</v>
      </c>
      <c r="AN92" s="89">
        <v>62300</v>
      </c>
      <c r="AO92" s="89">
        <v>86044</v>
      </c>
      <c r="AP92" s="89" t="s">
        <v>1945</v>
      </c>
      <c r="AQ92" s="89" t="s">
        <v>2435</v>
      </c>
    </row>
    <row r="93" spans="1:43">
      <c r="A93" s="89">
        <v>80715</v>
      </c>
      <c r="B93" s="89" t="s">
        <v>1351</v>
      </c>
      <c r="C93" s="89" t="s">
        <v>196</v>
      </c>
      <c r="D93" s="28" t="s">
        <v>1956</v>
      </c>
      <c r="E93" s="25" t="str">
        <f>HYPERLINK("https://stat100.ameba.jp/tnk47/ratio20/illustrations/card/ill_80715_gyaruchikaramochiyurei05.jpg", "■")</f>
        <v>■</v>
      </c>
      <c r="F93" s="89" t="s">
        <v>1957</v>
      </c>
      <c r="AI93" s="89" t="s">
        <v>2113</v>
      </c>
      <c r="AJ93" s="99" t="s">
        <v>2113</v>
      </c>
      <c r="AK93" s="4" t="str">
        <f>'5進化ガチャ'!U111</f>
        <v>ー</v>
      </c>
      <c r="AL93" s="89" t="s">
        <v>1093</v>
      </c>
      <c r="AM93" s="89">
        <v>22</v>
      </c>
      <c r="AN93" s="89">
        <v>68444</v>
      </c>
      <c r="AO93" s="89">
        <v>50276</v>
      </c>
      <c r="AP93" s="89" t="s">
        <v>1958</v>
      </c>
      <c r="AQ93" s="89" t="s">
        <v>2433</v>
      </c>
    </row>
    <row r="94" spans="1:43">
      <c r="A94" s="89">
        <v>81275</v>
      </c>
      <c r="B94" s="89" t="s">
        <v>1367</v>
      </c>
      <c r="C94" s="89" t="s">
        <v>15</v>
      </c>
      <c r="D94" s="28" t="s">
        <v>1968</v>
      </c>
      <c r="E94" s="25" t="str">
        <f>HYPERLINK("https://stat100.ameba.jp/tnk47/ratio20/illustrations/card/ill_81275_gogatsubyogohime05.jpg", "■")</f>
        <v>■</v>
      </c>
      <c r="F94" s="89" t="s">
        <v>1969</v>
      </c>
      <c r="AI94" s="89" t="s">
        <v>2113</v>
      </c>
      <c r="AJ94" s="99" t="s">
        <v>2113</v>
      </c>
      <c r="AK94" s="4" t="str">
        <f>'5進化ガチャ'!U114</f>
        <v>ー</v>
      </c>
      <c r="AL94" s="89" t="s">
        <v>1093</v>
      </c>
      <c r="AM94" s="89">
        <v>23</v>
      </c>
      <c r="AN94" s="89">
        <v>108130</v>
      </c>
      <c r="AO94" s="89">
        <v>78289</v>
      </c>
      <c r="AP94" s="89" t="s">
        <v>1970</v>
      </c>
      <c r="AQ94" s="89" t="s">
        <v>2447</v>
      </c>
    </row>
    <row r="95" spans="1:43">
      <c r="A95" s="89">
        <v>81875</v>
      </c>
      <c r="B95" s="89" t="s">
        <v>1351</v>
      </c>
      <c r="C95" s="89" t="s">
        <v>79</v>
      </c>
      <c r="D95" s="28" t="s">
        <v>1981</v>
      </c>
      <c r="E95" s="25" t="str">
        <f>HYPERLINK("https://stat100.ameba.jp/tnk47/ratio20/illustrations/card/ill_81875_jumburaidohanimotoko05.jpg", "■")</f>
        <v>■</v>
      </c>
      <c r="F95" s="89" t="s">
        <v>1982</v>
      </c>
      <c r="AI95" s="89" t="s">
        <v>2113</v>
      </c>
      <c r="AJ95" s="99" t="s">
        <v>2113</v>
      </c>
      <c r="AK95" s="4" t="str">
        <f>'5進化ガチャ'!U117</f>
        <v>14+11+11+13+14</v>
      </c>
      <c r="AL95" s="89" t="s">
        <v>1354</v>
      </c>
      <c r="AM95" s="89">
        <v>23</v>
      </c>
      <c r="AN95" s="89">
        <v>112277</v>
      </c>
      <c r="AO95" s="89">
        <v>81293</v>
      </c>
      <c r="AP95" s="89" t="s">
        <v>1984</v>
      </c>
      <c r="AQ95" s="89" t="s">
        <v>2432</v>
      </c>
    </row>
  </sheetData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27C9-2565-4B2E-8ACD-D9B88B131703}">
  <dimension ref="A1:O1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" customWidth="1"/>
    <col min="2" max="2" width="10.4140625" style="4" customWidth="1"/>
    <col min="3" max="3" width="5.4140625" style="4" customWidth="1"/>
    <col min="4" max="4" width="25.75" style="4" customWidth="1"/>
    <col min="5" max="5" width="3.75" style="4" customWidth="1"/>
    <col min="6" max="6" width="16.08203125" style="4" hidden="1" customWidth="1"/>
    <col min="7" max="8" width="20.75" style="4" hidden="1" customWidth="1"/>
    <col min="9" max="9" width="4.75" style="4" customWidth="1"/>
    <col min="10" max="11" width="7.25" style="4" customWidth="1"/>
    <col min="12" max="12" width="15.6640625" style="4" hidden="1" customWidth="1"/>
    <col min="13" max="13" width="30.4140625" style="4" customWidth="1"/>
    <col min="14" max="14" width="16.08203125" style="4" hidden="1" customWidth="1"/>
    <col min="15" max="15" width="42.58203125" style="4" bestFit="1" customWidth="1"/>
    <col min="16" max="16384" width="8.9140625" style="4"/>
  </cols>
  <sheetData>
    <row r="1" spans="1:1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542</v>
      </c>
      <c r="H1" s="2" t="s">
        <v>543</v>
      </c>
      <c r="I1" s="2" t="s">
        <v>7</v>
      </c>
      <c r="J1" s="2" t="s">
        <v>544</v>
      </c>
      <c r="K1" s="2" t="s">
        <v>545</v>
      </c>
      <c r="L1" s="2" t="s">
        <v>10</v>
      </c>
      <c r="M1" s="1" t="s">
        <v>11</v>
      </c>
      <c r="N1" s="2" t="s">
        <v>2217</v>
      </c>
      <c r="O1" s="2" t="s">
        <v>2218</v>
      </c>
    </row>
    <row r="2" spans="1:15">
      <c r="D2" s="6"/>
      <c r="E2" s="6"/>
    </row>
    <row r="3" spans="1:15">
      <c r="A3" s="4">
        <v>41273</v>
      </c>
      <c r="B3" s="4" t="s">
        <v>158</v>
      </c>
      <c r="C3" s="4" t="s">
        <v>21</v>
      </c>
      <c r="D3" s="5" t="s">
        <v>2665</v>
      </c>
      <c r="E3" s="25" t="str">
        <f>HYPERLINK("http://stat100.ameba.jp/tnk47/ratio20/illustrations/card/ill_41273_mogamitokunai03.jpg", "■")</f>
        <v>■</v>
      </c>
      <c r="F3" s="4" t="s">
        <v>2233</v>
      </c>
      <c r="G3" s="4" t="s">
        <v>2684</v>
      </c>
      <c r="H3" s="4" t="s">
        <v>2682</v>
      </c>
      <c r="I3" s="4">
        <v>18</v>
      </c>
      <c r="J3" s="4">
        <v>69378</v>
      </c>
      <c r="K3" s="4">
        <v>64504</v>
      </c>
      <c r="L3" s="4" t="s">
        <v>2234</v>
      </c>
      <c r="M3" s="4" t="s">
        <v>2235</v>
      </c>
      <c r="N3" s="4" t="s">
        <v>2222</v>
      </c>
      <c r="O3" s="4" t="s">
        <v>2236</v>
      </c>
    </row>
    <row r="4" spans="1:15">
      <c r="A4" s="4">
        <v>41283</v>
      </c>
      <c r="B4" s="4" t="s">
        <v>106</v>
      </c>
      <c r="C4" s="4" t="s">
        <v>84</v>
      </c>
      <c r="D4" s="5" t="s">
        <v>2666</v>
      </c>
      <c r="E4" s="25" t="str">
        <f>HYPERLINK("http://stat100.ameba.jp/tnk47/ratio20/illustrations/card/ill_41283_kinugawaonsen03.jpg", "■")</f>
        <v>■</v>
      </c>
      <c r="F4" s="4" t="s">
        <v>2237</v>
      </c>
      <c r="H4" s="4" t="s">
        <v>2683</v>
      </c>
      <c r="I4" s="4">
        <v>18</v>
      </c>
      <c r="J4" s="102">
        <v>69378</v>
      </c>
      <c r="K4" s="102">
        <v>64504</v>
      </c>
      <c r="L4" s="4" t="s">
        <v>2238</v>
      </c>
      <c r="M4" s="4" t="s">
        <v>2239</v>
      </c>
      <c r="N4" s="4" t="s">
        <v>2222</v>
      </c>
      <c r="O4" s="4" t="s">
        <v>2240</v>
      </c>
    </row>
    <row r="5" spans="1:15">
      <c r="A5" s="4">
        <v>41073</v>
      </c>
      <c r="B5" s="4" t="s">
        <v>94</v>
      </c>
      <c r="C5" s="4" t="s">
        <v>107</v>
      </c>
      <c r="D5" s="5" t="s">
        <v>2669</v>
      </c>
      <c r="E5" s="25" t="str">
        <f>HYPERLINK("http://stat100.ameba.jp/tnk47/ratio20/illustrations/card/ill_41073_narutokintoki03.jpg", "■")</f>
        <v>■</v>
      </c>
      <c r="F5" s="4" t="s">
        <v>2249</v>
      </c>
      <c r="G5" s="4" t="s">
        <v>564</v>
      </c>
      <c r="H5" s="4" t="s">
        <v>2680</v>
      </c>
      <c r="I5" s="4">
        <v>18</v>
      </c>
      <c r="J5" s="102">
        <v>69378</v>
      </c>
      <c r="K5" s="102">
        <v>64504</v>
      </c>
      <c r="L5" s="4" t="s">
        <v>2250</v>
      </c>
      <c r="M5" s="4" t="s">
        <v>2251</v>
      </c>
      <c r="N5" s="4" t="s">
        <v>2222</v>
      </c>
      <c r="O5" s="4" t="s">
        <v>2252</v>
      </c>
    </row>
    <row r="6" spans="1:15">
      <c r="A6" s="4">
        <v>41303</v>
      </c>
      <c r="B6" s="4" t="s">
        <v>14</v>
      </c>
      <c r="C6" s="4" t="s">
        <v>196</v>
      </c>
      <c r="D6" s="5" t="s">
        <v>2667</v>
      </c>
      <c r="E6" s="25" t="str">
        <f>HYPERLINK("http://stat100.ameba.jp/tnk47/ratio20/illustrations/card/ill_41303_sogembi03.jpg", "■")</f>
        <v>■</v>
      </c>
      <c r="F6" s="4" t="s">
        <v>2241</v>
      </c>
      <c r="H6" s="58" t="s">
        <v>2683</v>
      </c>
      <c r="I6" s="4">
        <v>18</v>
      </c>
      <c r="J6" s="102">
        <v>69378</v>
      </c>
      <c r="K6" s="102">
        <v>64504</v>
      </c>
      <c r="L6" s="4" t="s">
        <v>2242</v>
      </c>
      <c r="M6" s="4" t="s">
        <v>2243</v>
      </c>
      <c r="N6" s="4" t="s">
        <v>2222</v>
      </c>
      <c r="O6" s="4" t="s">
        <v>2244</v>
      </c>
    </row>
    <row r="7" spans="1:15">
      <c r="A7" s="4">
        <v>31303</v>
      </c>
      <c r="B7" s="4" t="s">
        <v>2224</v>
      </c>
      <c r="C7" s="4" t="s">
        <v>79</v>
      </c>
      <c r="D7" s="5" t="s">
        <v>2668</v>
      </c>
      <c r="E7" s="25" t="str">
        <f>HYPERLINK("http://stat100.ameba.jp/tnk47/ratio20/illustrations/card/ill_31303_otomae03.jpg", "■")</f>
        <v>■</v>
      </c>
      <c r="F7" s="4" t="s">
        <v>2245</v>
      </c>
      <c r="G7" s="4" t="s">
        <v>2685</v>
      </c>
      <c r="H7" s="4" t="s">
        <v>2679</v>
      </c>
      <c r="I7" s="4">
        <v>18</v>
      </c>
      <c r="J7" s="102">
        <v>69378</v>
      </c>
      <c r="K7" s="102">
        <v>64504</v>
      </c>
      <c r="L7" s="4" t="s">
        <v>2246</v>
      </c>
      <c r="M7" s="4" t="s">
        <v>2247</v>
      </c>
      <c r="N7" s="4" t="s">
        <v>2222</v>
      </c>
      <c r="O7" s="4" t="s">
        <v>2248</v>
      </c>
    </row>
    <row r="8" spans="1:15">
      <c r="A8" s="4">
        <v>41323</v>
      </c>
      <c r="B8" s="4" t="s">
        <v>20</v>
      </c>
      <c r="C8" s="4" t="s">
        <v>63</v>
      </c>
      <c r="D8" s="5" t="s">
        <v>2670</v>
      </c>
      <c r="E8" s="25" t="str">
        <f>HYPERLINK("http://stat100.ameba.jp/tnk47/ratio20/illustrations/card/ill_41323_shikinagongen03.jpg", "■")</f>
        <v>■</v>
      </c>
      <c r="F8" s="4" t="s">
        <v>2253</v>
      </c>
      <c r="G8" s="4" t="s">
        <v>568</v>
      </c>
      <c r="H8" s="4" t="s">
        <v>2681</v>
      </c>
      <c r="I8" s="4">
        <v>18</v>
      </c>
      <c r="J8" s="102">
        <v>69378</v>
      </c>
      <c r="K8" s="102">
        <v>64504</v>
      </c>
      <c r="L8" s="4" t="s">
        <v>2254</v>
      </c>
      <c r="M8" s="4" t="s">
        <v>2255</v>
      </c>
      <c r="N8" s="4" t="s">
        <v>2222</v>
      </c>
      <c r="O8" s="4" t="s">
        <v>2256</v>
      </c>
    </row>
    <row r="9" spans="1:15">
      <c r="A9" s="4">
        <v>40393</v>
      </c>
      <c r="B9" s="4" t="s">
        <v>94</v>
      </c>
      <c r="C9" s="4" t="s">
        <v>68</v>
      </c>
      <c r="D9" s="5" t="s">
        <v>2662</v>
      </c>
      <c r="E9" s="25" t="str">
        <f>HYPERLINK("http://stat100.ameba.jp/tnk47/ratio20/illustrations/card/ill_40393_kyodaiin03.jpg", "■")</f>
        <v>■</v>
      </c>
      <c r="F9" s="4" t="s">
        <v>2219</v>
      </c>
      <c r="H9" s="58" t="s">
        <v>2676</v>
      </c>
      <c r="I9" s="4">
        <v>18</v>
      </c>
      <c r="J9" s="102">
        <v>53352</v>
      </c>
      <c r="K9" s="102">
        <v>48390</v>
      </c>
      <c r="L9" s="4" t="s">
        <v>2220</v>
      </c>
      <c r="M9" s="4" t="s">
        <v>2221</v>
      </c>
      <c r="N9" s="4" t="s">
        <v>2222</v>
      </c>
      <c r="O9" s="4" t="s">
        <v>2223</v>
      </c>
    </row>
    <row r="10" spans="1:15">
      <c r="A10" s="4">
        <v>41053</v>
      </c>
      <c r="B10" s="4" t="s">
        <v>2224</v>
      </c>
      <c r="C10" s="4" t="s">
        <v>132</v>
      </c>
      <c r="D10" s="5" t="s">
        <v>2663</v>
      </c>
      <c r="E10" s="25" t="str">
        <f>HYPERLINK("http://stat100.ameba.jp/tnk47/ratio20/illustrations/card/ill_41053_tanukinongaeshi03.jpg", "■")</f>
        <v>■</v>
      </c>
      <c r="F10" s="4" t="s">
        <v>2225</v>
      </c>
      <c r="H10" s="4" t="s">
        <v>2678</v>
      </c>
      <c r="I10" s="4">
        <v>18</v>
      </c>
      <c r="J10" s="102">
        <v>53352</v>
      </c>
      <c r="K10" s="102">
        <v>48390</v>
      </c>
      <c r="L10" s="4" t="s">
        <v>2226</v>
      </c>
      <c r="M10" s="4" t="s">
        <v>2227</v>
      </c>
      <c r="N10" s="4" t="s">
        <v>2222</v>
      </c>
      <c r="O10" s="4" t="s">
        <v>2228</v>
      </c>
    </row>
    <row r="11" spans="1:15">
      <c r="A11" s="4">
        <v>41063</v>
      </c>
      <c r="B11" s="4" t="s">
        <v>14</v>
      </c>
      <c r="C11" s="4" t="s">
        <v>101</v>
      </c>
      <c r="D11" s="5" t="s">
        <v>2664</v>
      </c>
      <c r="E11" s="25" t="str">
        <f>HYPERLINK("http://stat100.ameba.jp/tnk47/ratio20/illustrations/card/ill_41063_asanoyoshinaga03.jpg", "■")</f>
        <v>■</v>
      </c>
      <c r="F11" s="4" t="s">
        <v>2229</v>
      </c>
      <c r="H11" s="58" t="s">
        <v>2677</v>
      </c>
      <c r="I11" s="4">
        <v>18</v>
      </c>
      <c r="J11" s="4">
        <v>53352</v>
      </c>
      <c r="K11" s="4">
        <v>48390</v>
      </c>
      <c r="L11" s="4" t="s">
        <v>2230</v>
      </c>
      <c r="M11" s="4" t="s">
        <v>2231</v>
      </c>
      <c r="N11" s="4" t="s">
        <v>2222</v>
      </c>
      <c r="O11" s="4" t="s">
        <v>2232</v>
      </c>
    </row>
  </sheetData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467B-055C-4763-BE8A-5A5B90A1227B}">
  <dimension ref="A1:L19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4140625" style="49" customWidth="1"/>
    <col min="2" max="2" width="10.4140625" style="49" customWidth="1"/>
    <col min="3" max="3" width="5.4140625" style="49" customWidth="1"/>
    <col min="4" max="4" width="25.75" style="49" customWidth="1"/>
    <col min="5" max="5" width="3.75" style="49" customWidth="1"/>
    <col min="6" max="6" width="16.08203125" style="49" hidden="1" customWidth="1"/>
    <col min="7" max="7" width="4.75" style="49" customWidth="1"/>
    <col min="8" max="9" width="7.25" style="49" customWidth="1"/>
    <col min="10" max="10" width="27.75" style="49" hidden="1" customWidth="1"/>
    <col min="11" max="11" width="70.9140625" style="49" customWidth="1"/>
    <col min="12" max="16384" width="8.9140625" style="49"/>
  </cols>
  <sheetData>
    <row r="1" spans="1:12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544</v>
      </c>
      <c r="I1" s="2" t="s">
        <v>545</v>
      </c>
      <c r="J1" s="2" t="s">
        <v>10</v>
      </c>
      <c r="K1" s="1" t="s">
        <v>11</v>
      </c>
      <c r="L1" s="49" t="s">
        <v>3024</v>
      </c>
    </row>
    <row r="2" spans="1:12">
      <c r="D2" s="25"/>
      <c r="E2" s="25"/>
    </row>
    <row r="3" spans="1:12">
      <c r="A3" s="49">
        <v>32243</v>
      </c>
      <c r="B3" s="49" t="s">
        <v>2576</v>
      </c>
      <c r="C3" s="49" t="s">
        <v>2577</v>
      </c>
      <c r="D3" s="49" t="s">
        <v>2578</v>
      </c>
      <c r="E3" s="25" t="str">
        <f>HYPERLINK("http://stat100.ameba.jp/tnk47/ratio20/illustrations/card/ill_32243_ebinarin03.jpg", "■")</f>
        <v>■</v>
      </c>
      <c r="F3" s="49" t="s">
        <v>2601</v>
      </c>
      <c r="G3" s="50">
        <v>13</v>
      </c>
      <c r="H3" s="50">
        <v>38532</v>
      </c>
      <c r="I3" s="50">
        <v>34948</v>
      </c>
      <c r="J3" s="50" t="s">
        <v>2996</v>
      </c>
      <c r="K3" s="50" t="s">
        <v>2995</v>
      </c>
      <c r="L3" s="111">
        <v>282282</v>
      </c>
    </row>
    <row r="4" spans="1:12">
      <c r="A4" s="49">
        <v>32253</v>
      </c>
      <c r="B4" s="49" t="s">
        <v>2583</v>
      </c>
      <c r="C4" s="49" t="s">
        <v>2582</v>
      </c>
      <c r="D4" s="49" t="s">
        <v>2581</v>
      </c>
      <c r="E4" s="25" t="str">
        <f>HYPERLINK("http://stat100.ameba.jp/tnk47/ratio20/illustrations/card/ill_32253_takatsukasanobuko03.jpg", "■")</f>
        <v>■</v>
      </c>
      <c r="F4" s="49" t="s">
        <v>2603</v>
      </c>
      <c r="G4" s="110">
        <v>13</v>
      </c>
      <c r="H4" s="131">
        <v>38532</v>
      </c>
      <c r="I4" s="131">
        <v>34948</v>
      </c>
      <c r="J4" s="50" t="s">
        <v>2999</v>
      </c>
      <c r="K4" s="50" t="s">
        <v>3000</v>
      </c>
      <c r="L4" s="111">
        <v>282282</v>
      </c>
    </row>
    <row r="5" spans="1:12">
      <c r="A5" s="49">
        <v>32263</v>
      </c>
      <c r="B5" s="49" t="s">
        <v>2588</v>
      </c>
      <c r="C5" s="49" t="s">
        <v>2587</v>
      </c>
      <c r="D5" s="49" t="s">
        <v>2586</v>
      </c>
      <c r="E5" s="25" t="str">
        <f>HYPERLINK("http://stat100.ameba.jp/tnk47/ratio20/illustrations/card/ill_32263_chikaramochiyurei03.jpg", "■")</f>
        <v>■</v>
      </c>
      <c r="F5" s="49" t="s">
        <v>2605</v>
      </c>
      <c r="G5" s="110">
        <v>13</v>
      </c>
      <c r="H5" s="50" t="s">
        <v>522</v>
      </c>
      <c r="I5" s="50" t="s">
        <v>522</v>
      </c>
      <c r="J5" s="50" t="s">
        <v>3004</v>
      </c>
      <c r="K5" s="50" t="s">
        <v>3003</v>
      </c>
    </row>
    <row r="6" spans="1:12">
      <c r="A6" s="49">
        <v>32133</v>
      </c>
      <c r="B6" s="49" t="s">
        <v>2592</v>
      </c>
      <c r="C6" s="49" t="s">
        <v>2590</v>
      </c>
      <c r="D6" s="49" t="s">
        <v>2591</v>
      </c>
      <c r="E6" s="25" t="str">
        <f>HYPERLINK("http://stat100.ameba.jp/tnk47/ratio20/illustrations/card/ill_32133_basubaga03.jpg", "■")</f>
        <v>■</v>
      </c>
      <c r="F6" s="49" t="s">
        <v>2607</v>
      </c>
      <c r="G6" s="110">
        <v>13</v>
      </c>
      <c r="H6" s="110">
        <v>38532</v>
      </c>
      <c r="I6" s="110">
        <v>34948</v>
      </c>
      <c r="J6" s="50" t="s">
        <v>3008</v>
      </c>
      <c r="K6" s="50" t="s">
        <v>3007</v>
      </c>
      <c r="L6" s="111">
        <v>282282</v>
      </c>
    </row>
    <row r="7" spans="1:12">
      <c r="A7" s="49">
        <v>32153</v>
      </c>
      <c r="B7" s="49" t="s">
        <v>2595</v>
      </c>
      <c r="C7" s="49" t="s">
        <v>2596</v>
      </c>
      <c r="D7" s="49" t="s">
        <v>2594</v>
      </c>
      <c r="E7" s="25" t="str">
        <f>HYPERLINK("http://stat100.ameba.jp/tnk47/ratio20/illustrations/card/ill_32153_tottorijokikkawatsuneie03.jpg", "■")</f>
        <v>■</v>
      </c>
      <c r="F7" s="49" t="s">
        <v>2609</v>
      </c>
      <c r="G7" s="110">
        <v>13</v>
      </c>
      <c r="H7" s="50" t="s">
        <v>522</v>
      </c>
      <c r="I7" s="50" t="s">
        <v>522</v>
      </c>
      <c r="J7" s="50" t="s">
        <v>3012</v>
      </c>
      <c r="K7" s="50" t="s">
        <v>3011</v>
      </c>
    </row>
    <row r="8" spans="1:12">
      <c r="A8" s="49">
        <v>32293</v>
      </c>
      <c r="B8" s="49" t="s">
        <v>2599</v>
      </c>
      <c r="C8" s="49" t="s">
        <v>2587</v>
      </c>
      <c r="D8" s="49" t="s">
        <v>2598</v>
      </c>
      <c r="E8" s="25" t="str">
        <f>HYPERLINK("http://stat100.ameba.jp/tnk47/ratio20/illustrations/card/ill_32293_tatsukuchinawa03.jpg", "■")</f>
        <v>■</v>
      </c>
      <c r="F8" s="49" t="s">
        <v>2611</v>
      </c>
      <c r="G8" s="110">
        <v>13</v>
      </c>
      <c r="H8" s="50" t="s">
        <v>522</v>
      </c>
      <c r="I8" s="50" t="s">
        <v>522</v>
      </c>
      <c r="J8" s="50" t="s">
        <v>3015</v>
      </c>
      <c r="K8" s="50" t="s">
        <v>3003</v>
      </c>
    </row>
    <row r="10" spans="1:12">
      <c r="A10" s="49">
        <v>39283</v>
      </c>
      <c r="B10" s="50" t="s">
        <v>2576</v>
      </c>
      <c r="C10" s="49" t="s">
        <v>2579</v>
      </c>
      <c r="D10" s="49" t="s">
        <v>2580</v>
      </c>
      <c r="E10" s="25" t="str">
        <f>HYPERLINK("http://stat100.ameba.jp/tnk47/ratio20/illustrations/card/ill_39283_tendousyougigoma03.jpg", "■")</f>
        <v>■</v>
      </c>
      <c r="F10" s="49" t="s">
        <v>2602</v>
      </c>
      <c r="G10" s="110">
        <v>13</v>
      </c>
      <c r="H10" s="110">
        <v>34948</v>
      </c>
      <c r="I10" s="110">
        <v>38532</v>
      </c>
      <c r="J10" s="50" t="s">
        <v>2998</v>
      </c>
      <c r="K10" s="50" t="s">
        <v>2997</v>
      </c>
      <c r="L10" s="111">
        <v>269296</v>
      </c>
    </row>
    <row r="11" spans="1:12">
      <c r="A11" s="49">
        <v>37223</v>
      </c>
      <c r="B11" s="50" t="s">
        <v>2583</v>
      </c>
      <c r="C11" s="49" t="s">
        <v>2585</v>
      </c>
      <c r="D11" s="49" t="s">
        <v>2584</v>
      </c>
      <c r="E11" s="25" t="str">
        <f>HYPERLINK("http://stat100.ameba.jp/tnk47/ratio20/illustrations/card/ill_37223_arikahikonomikoto03.jpg", "■")</f>
        <v>■</v>
      </c>
      <c r="F11" s="49" t="s">
        <v>2604</v>
      </c>
      <c r="G11" s="110">
        <v>13</v>
      </c>
      <c r="H11" s="131">
        <v>34948</v>
      </c>
      <c r="I11" s="131">
        <v>38532</v>
      </c>
      <c r="J11" s="50" t="s">
        <v>3002</v>
      </c>
      <c r="K11" s="50" t="s">
        <v>3001</v>
      </c>
      <c r="L11" s="111">
        <v>269296</v>
      </c>
    </row>
    <row r="12" spans="1:12">
      <c r="A12" s="49">
        <v>39303</v>
      </c>
      <c r="B12" s="50" t="s">
        <v>2588</v>
      </c>
      <c r="C12" s="49" t="s">
        <v>2590</v>
      </c>
      <c r="D12" s="49" t="s">
        <v>2589</v>
      </c>
      <c r="E12" s="25" t="str">
        <f>HYPERLINK("http://stat100.ameba.jp/tnk47/ratio20/illustrations/card/ill_39303_yakuyokedango03.jpg", "■")</f>
        <v>■</v>
      </c>
      <c r="F12" s="49" t="s">
        <v>2606</v>
      </c>
      <c r="G12" s="110">
        <v>13</v>
      </c>
      <c r="H12" s="50" t="s">
        <v>522</v>
      </c>
      <c r="I12" s="50" t="s">
        <v>522</v>
      </c>
      <c r="J12" s="50" t="s">
        <v>3006</v>
      </c>
      <c r="K12" s="50" t="s">
        <v>3005</v>
      </c>
    </row>
    <row r="13" spans="1:12">
      <c r="A13" s="49">
        <v>39313</v>
      </c>
      <c r="B13" s="50" t="s">
        <v>2592</v>
      </c>
      <c r="C13" s="49" t="s">
        <v>2577</v>
      </c>
      <c r="D13" s="49" t="s">
        <v>2593</v>
      </c>
      <c r="E13" s="25" t="str">
        <f>HYPERLINK("http://stat100.ameba.jp/tnk47/ratio20/illustrations/card/ill_39313_tomiokatessai03.jpg", "■")</f>
        <v>■</v>
      </c>
      <c r="F13" s="49" t="s">
        <v>2608</v>
      </c>
      <c r="G13" s="110">
        <v>13</v>
      </c>
      <c r="H13" s="50" t="s">
        <v>522</v>
      </c>
      <c r="I13" s="50" t="s">
        <v>522</v>
      </c>
      <c r="J13" s="50" t="s">
        <v>3010</v>
      </c>
      <c r="K13" s="50" t="s">
        <v>3009</v>
      </c>
    </row>
    <row r="14" spans="1:12">
      <c r="A14" s="49">
        <v>39323</v>
      </c>
      <c r="B14" s="50" t="s">
        <v>2595</v>
      </c>
      <c r="C14" s="49" t="s">
        <v>2587</v>
      </c>
      <c r="D14" s="49" t="s">
        <v>2597</v>
      </c>
      <c r="E14" s="25" t="str">
        <f>HYPERLINK("http://stat100.ameba.jp/tnk47/ratio20/illustrations/card/ill_39323_sibaten03.jpg", "■")</f>
        <v>■</v>
      </c>
      <c r="F14" s="49" t="s">
        <v>2610</v>
      </c>
      <c r="G14" s="110">
        <v>13</v>
      </c>
      <c r="H14" s="50" t="s">
        <v>522</v>
      </c>
      <c r="I14" s="50" t="s">
        <v>522</v>
      </c>
      <c r="J14" s="50" t="s">
        <v>3014</v>
      </c>
      <c r="K14" s="50" t="s">
        <v>3013</v>
      </c>
    </row>
    <row r="15" spans="1:12">
      <c r="A15" s="49">
        <v>39333</v>
      </c>
      <c r="B15" s="49" t="s">
        <v>2599</v>
      </c>
      <c r="C15" s="49" t="s">
        <v>2582</v>
      </c>
      <c r="D15" s="49" t="s">
        <v>2600</v>
      </c>
      <c r="E15" s="25" t="str">
        <f>HYPERLINK("http://stat100.ameba.jp/tnk47/ratio20/illustrations/card/ill_39333_enshininden03.jpg", "■")</f>
        <v>■</v>
      </c>
      <c r="F15" s="49" t="s">
        <v>2612</v>
      </c>
      <c r="G15" s="110">
        <v>13</v>
      </c>
      <c r="H15" s="110">
        <v>34948</v>
      </c>
      <c r="I15" s="110">
        <v>38532</v>
      </c>
      <c r="J15" s="50" t="s">
        <v>3017</v>
      </c>
      <c r="K15" s="50" t="s">
        <v>3016</v>
      </c>
      <c r="L15" s="111">
        <v>269296</v>
      </c>
    </row>
    <row r="17" spans="1:12">
      <c r="A17" s="49">
        <v>22203</v>
      </c>
      <c r="B17" s="49" t="s">
        <v>593</v>
      </c>
      <c r="C17" s="49" t="s">
        <v>27</v>
      </c>
      <c r="D17" s="28" t="s">
        <v>2570</v>
      </c>
      <c r="E17" s="25" t="str">
        <f>HYPERLINK("http://stat100.ameba.jp/tnk47/ratio20/illustrations/card/ill_22203_kaisenchirashizushi03.jpg", "■")</f>
        <v>■</v>
      </c>
      <c r="F17" s="49" t="s">
        <v>2573</v>
      </c>
      <c r="G17" s="110">
        <v>13</v>
      </c>
      <c r="H17" s="49" t="s">
        <v>522</v>
      </c>
      <c r="I17" s="49" t="s">
        <v>522</v>
      </c>
      <c r="J17" s="49" t="s">
        <v>3019</v>
      </c>
      <c r="K17" s="10" t="s">
        <v>3018</v>
      </c>
    </row>
    <row r="18" spans="1:12">
      <c r="A18" s="49">
        <v>24013</v>
      </c>
      <c r="B18" s="49" t="s">
        <v>593</v>
      </c>
      <c r="C18" s="49" t="s">
        <v>101</v>
      </c>
      <c r="D18" s="28" t="s">
        <v>2571</v>
      </c>
      <c r="E18" s="25" t="str">
        <f>HYPERLINK("http://stat100.ameba.jp/tnk47/ratio20/illustrations/card/ill_24013_hashibahideyoshi03.jpg", "■")</f>
        <v>■</v>
      </c>
      <c r="F18" s="49" t="s">
        <v>2574</v>
      </c>
      <c r="G18" s="110">
        <v>13</v>
      </c>
      <c r="H18" s="49">
        <v>40210</v>
      </c>
      <c r="I18" s="49">
        <v>33190</v>
      </c>
      <c r="J18" s="49" t="s">
        <v>3021</v>
      </c>
      <c r="K18" s="114" t="s">
        <v>3020</v>
      </c>
      <c r="L18" s="49" t="s">
        <v>3025</v>
      </c>
    </row>
    <row r="19" spans="1:12">
      <c r="A19" s="49">
        <v>25813</v>
      </c>
      <c r="B19" s="49" t="s">
        <v>593</v>
      </c>
      <c r="C19" s="49" t="s">
        <v>33</v>
      </c>
      <c r="D19" s="28" t="s">
        <v>2572</v>
      </c>
      <c r="E19" s="25" t="str">
        <f>HYPERLINK("http://stat100.ameba.jp/tnk47/ratio20/illustrations/card/ill_25813_kaneshon03.jpg", "■")</f>
        <v>■</v>
      </c>
      <c r="F19" s="49" t="s">
        <v>2575</v>
      </c>
      <c r="G19" s="110">
        <v>13</v>
      </c>
      <c r="H19" s="49" t="s">
        <v>522</v>
      </c>
      <c r="I19" s="49" t="s">
        <v>522</v>
      </c>
      <c r="J19" s="49" t="s">
        <v>3023</v>
      </c>
      <c r="K19" s="10" t="s">
        <v>3022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ラッキーメダル</vt:lpstr>
      <vt:lpstr>強DOWN</vt:lpstr>
      <vt:lpstr>合体防衛戦</vt:lpstr>
      <vt:lpstr>合体その他</vt:lpstr>
      <vt:lpstr>5進化防衛戦</vt:lpstr>
      <vt:lpstr>5進化ガチャ</vt:lpstr>
      <vt:lpstr>5進化引換券</vt:lpstr>
      <vt:lpstr>スキル封じ</vt:lpstr>
      <vt:lpstr>天クロガチャ系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紅茶川樽󠄀之介</dc:creator>
  <cp:lastModifiedBy>紅茶川 樽之介</cp:lastModifiedBy>
  <dcterms:created xsi:type="dcterms:W3CDTF">2015-06-05T18:19:34Z</dcterms:created>
  <dcterms:modified xsi:type="dcterms:W3CDTF">2022-05-05T16:17:13Z</dcterms:modified>
</cp:coreProperties>
</file>