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167" documentId="13_ncr:1_{F273D1B5-AD8D-4247-9C69-400A0903AFEE}" xr6:coauthVersionLast="47" xr6:coauthVersionMax="47" xr10:uidLastSave="{546BA223-33C4-40FF-BD09-74C3A59E2B9E}"/>
  <bookViews>
    <workbookView xWindow="1310" yWindow="1090" windowWidth="13890" windowHeight="10880" activeTab="4" xr2:uid="{00000000-000D-0000-FFFF-FFFF00000000}"/>
  </bookViews>
  <sheets>
    <sheet name="1805" sheetId="7" r:id="rId1"/>
    <sheet name="1809" sheetId="6" r:id="rId2"/>
    <sheet name="1811" sheetId="8" r:id="rId3"/>
    <sheet name="1901" sheetId="9" r:id="rId4"/>
    <sheet name="1903" sheetId="10" r:id="rId5"/>
    <sheet name="1905" sheetId="11" r:id="rId6"/>
    <sheet name="1907" sheetId="12" r:id="rId7"/>
    <sheet name="1909" sheetId="13" r:id="rId8"/>
    <sheet name="1911" sheetId="16" r:id="rId9"/>
    <sheet name="2112" sheetId="17" r:id="rId10"/>
    <sheet name="テンプレ" sheetId="1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7" l="1"/>
  <c r="F23" i="17"/>
  <c r="F22" i="17"/>
  <c r="F21" i="17"/>
  <c r="F20" i="17"/>
  <c r="F19" i="17"/>
  <c r="F18" i="17"/>
  <c r="F17" i="17"/>
  <c r="F16" i="17"/>
  <c r="F15" i="17"/>
  <c r="F14" i="17"/>
  <c r="F13" i="17"/>
  <c r="F33" i="17" l="1"/>
  <c r="F32" i="17"/>
  <c r="F31" i="17"/>
  <c r="F30" i="17"/>
  <c r="F29" i="17"/>
  <c r="F28" i="17"/>
  <c r="F39" i="17"/>
  <c r="F38" i="17"/>
  <c r="F37" i="17"/>
  <c r="F36" i="17"/>
  <c r="F53" i="17"/>
  <c r="F52" i="17"/>
  <c r="F51" i="17"/>
  <c r="F50" i="17"/>
  <c r="F49" i="17"/>
  <c r="F48" i="17"/>
  <c r="F47" i="17"/>
  <c r="F46" i="17"/>
  <c r="F43" i="17" l="1"/>
  <c r="F42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10" i="17"/>
  <c r="F9" i="17"/>
  <c r="F8" i="17"/>
  <c r="F7" i="17"/>
  <c r="F6" i="17"/>
  <c r="F5" i="17"/>
  <c r="F5" i="15"/>
  <c r="F4" i="15"/>
  <c r="F3" i="15"/>
  <c r="F19" i="15" l="1"/>
  <c r="F18" i="15"/>
  <c r="F17" i="15"/>
  <c r="F16" i="15"/>
  <c r="F14" i="15"/>
  <c r="F13" i="15"/>
  <c r="F12" i="15"/>
  <c r="F11" i="15"/>
  <c r="F10" i="15"/>
  <c r="F9" i="15"/>
  <c r="F8" i="15"/>
  <c r="F7" i="15"/>
  <c r="F19" i="16"/>
  <c r="F18" i="16"/>
  <c r="F17" i="16"/>
  <c r="F16" i="16"/>
  <c r="F14" i="16"/>
  <c r="F13" i="16"/>
  <c r="F12" i="16"/>
  <c r="F11" i="16"/>
  <c r="F10" i="16"/>
  <c r="F9" i="16"/>
  <c r="F8" i="16"/>
  <c r="F7" i="16"/>
  <c r="F5" i="16"/>
  <c r="F4" i="16"/>
  <c r="F3" i="16"/>
  <c r="F19" i="13"/>
  <c r="F18" i="13"/>
  <c r="F17" i="13"/>
  <c r="F16" i="13"/>
  <c r="F14" i="13"/>
  <c r="F13" i="13"/>
  <c r="F12" i="13"/>
  <c r="F11" i="13"/>
  <c r="F10" i="13"/>
  <c r="F9" i="13"/>
  <c r="F8" i="13"/>
  <c r="F7" i="13"/>
  <c r="F5" i="13"/>
  <c r="F4" i="13"/>
  <c r="F3" i="13"/>
  <c r="F19" i="12"/>
  <c r="F18" i="12"/>
  <c r="F17" i="12"/>
  <c r="F16" i="12"/>
  <c r="F14" i="12"/>
  <c r="F13" i="12"/>
  <c r="F12" i="12"/>
  <c r="F11" i="12"/>
  <c r="F10" i="12"/>
  <c r="F9" i="12"/>
  <c r="F8" i="12"/>
  <c r="F7" i="12"/>
  <c r="F5" i="12"/>
  <c r="F4" i="12"/>
  <c r="F3" i="12"/>
  <c r="F19" i="11"/>
  <c r="F18" i="11"/>
  <c r="F17" i="11"/>
  <c r="F16" i="11"/>
  <c r="F14" i="11"/>
  <c r="F13" i="11"/>
  <c r="F12" i="11"/>
  <c r="F11" i="11"/>
  <c r="F10" i="11"/>
  <c r="F9" i="11"/>
  <c r="F8" i="11"/>
  <c r="F7" i="11"/>
  <c r="F5" i="11"/>
  <c r="F4" i="11"/>
  <c r="F3" i="11"/>
  <c r="F19" i="10"/>
  <c r="F18" i="10"/>
  <c r="F17" i="10"/>
  <c r="F16" i="10"/>
  <c r="F14" i="10"/>
  <c r="F13" i="10"/>
  <c r="F12" i="10"/>
  <c r="F11" i="10"/>
  <c r="F10" i="10"/>
  <c r="F9" i="10"/>
  <c r="F8" i="10"/>
  <c r="F7" i="10"/>
  <c r="F5" i="10"/>
  <c r="F4" i="10"/>
  <c r="F3" i="10"/>
  <c r="F19" i="9"/>
  <c r="F18" i="9"/>
  <c r="F17" i="9"/>
  <c r="F16" i="9"/>
  <c r="F14" i="9"/>
  <c r="F13" i="9"/>
  <c r="F12" i="9"/>
  <c r="F11" i="9"/>
  <c r="F10" i="9"/>
  <c r="F9" i="9"/>
  <c r="F8" i="9"/>
  <c r="F7" i="9"/>
  <c r="F5" i="9"/>
  <c r="F4" i="9"/>
  <c r="F3" i="9"/>
  <c r="F19" i="8"/>
  <c r="F18" i="8"/>
  <c r="F17" i="8"/>
  <c r="F16" i="8"/>
  <c r="F14" i="8"/>
  <c r="F13" i="8"/>
  <c r="F12" i="8"/>
  <c r="F11" i="8"/>
  <c r="F10" i="8"/>
  <c r="F9" i="8"/>
  <c r="F8" i="8"/>
  <c r="F7" i="8"/>
  <c r="F5" i="8"/>
  <c r="F4" i="8"/>
  <c r="F3" i="8"/>
  <c r="F19" i="6"/>
  <c r="F18" i="6"/>
  <c r="F17" i="6"/>
  <c r="F16" i="6"/>
  <c r="F14" i="6"/>
  <c r="F13" i="6"/>
  <c r="F12" i="6"/>
  <c r="F11" i="6"/>
  <c r="F10" i="6"/>
  <c r="F9" i="6"/>
  <c r="F8" i="6"/>
  <c r="F7" i="6"/>
  <c r="F5" i="6"/>
  <c r="F4" i="6"/>
  <c r="F3" i="6"/>
  <c r="F19" i="7"/>
  <c r="F18" i="7"/>
  <c r="F17" i="7"/>
  <c r="F16" i="7"/>
  <c r="F14" i="7"/>
  <c r="F13" i="7"/>
  <c r="F12" i="7"/>
  <c r="F11" i="7"/>
  <c r="F10" i="7"/>
  <c r="F9" i="7"/>
  <c r="F8" i="7"/>
  <c r="F7" i="7"/>
  <c r="F5" i="7"/>
  <c r="F4" i="7"/>
  <c r="F3" i="7"/>
</calcChain>
</file>

<file path=xl/sharedStrings.xml><?xml version="1.0" encoding="utf-8"?>
<sst xmlns="http://schemas.openxmlformats.org/spreadsheetml/2006/main" count="2031" uniqueCount="643">
  <si>
    <t>HR</t>
    <phoneticPr fontId="1"/>
  </si>
  <si>
    <t>北海道・東北</t>
    <phoneticPr fontId="1"/>
  </si>
  <si>
    <t>偉人</t>
    <phoneticPr fontId="1"/>
  </si>
  <si>
    <t>姫</t>
    <phoneticPr fontId="1"/>
  </si>
  <si>
    <t>関東</t>
    <phoneticPr fontId="1"/>
  </si>
  <si>
    <t>武人</t>
    <phoneticPr fontId="1"/>
  </si>
  <si>
    <t>中部</t>
    <phoneticPr fontId="1"/>
  </si>
  <si>
    <t>近畿</t>
    <phoneticPr fontId="1"/>
  </si>
  <si>
    <t>中国・四国</t>
    <phoneticPr fontId="1"/>
  </si>
  <si>
    <t>九州・沖縄</t>
    <phoneticPr fontId="1"/>
  </si>
  <si>
    <t>SR</t>
    <phoneticPr fontId="1"/>
  </si>
  <si>
    <t>姫</t>
    <rPh sb="0" eb="1">
      <t>ヒメ</t>
    </rPh>
    <phoneticPr fontId="1"/>
  </si>
  <si>
    <t>13,13,10,9</t>
    <phoneticPr fontId="1"/>
  </si>
  <si>
    <t>所属</t>
    <rPh sb="0" eb="2">
      <t>ショゾク</t>
    </rPh>
    <phoneticPr fontId="2"/>
  </si>
  <si>
    <t>タイプ</t>
  </si>
  <si>
    <t>隊士名</t>
    <rPh sb="0" eb="2">
      <t>タイシ</t>
    </rPh>
    <rPh sb="2" eb="3">
      <t>メイ</t>
    </rPh>
    <phoneticPr fontId="2"/>
  </si>
  <si>
    <t>進化</t>
    <rPh sb="0" eb="2">
      <t>シンカ</t>
    </rPh>
    <phoneticPr fontId="2"/>
  </si>
  <si>
    <t>コスト</t>
    <phoneticPr fontId="1"/>
  </si>
  <si>
    <t>スキル名</t>
    <rPh sb="3" eb="4">
      <t>メイ</t>
    </rPh>
    <phoneticPr fontId="2"/>
  </si>
  <si>
    <t>偉人</t>
    <rPh sb="0" eb="2">
      <t>イジン</t>
    </rPh>
    <phoneticPr fontId="1"/>
  </si>
  <si>
    <t>武人</t>
    <rPh sb="0" eb="2">
      <t>ブジン</t>
    </rPh>
    <phoneticPr fontId="1"/>
  </si>
  <si>
    <t>レア度</t>
    <rPh sb="2" eb="3">
      <t>ド</t>
    </rPh>
    <phoneticPr fontId="2"/>
  </si>
  <si>
    <t>東日本</t>
    <phoneticPr fontId="1"/>
  </si>
  <si>
    <t>SSR</t>
    <phoneticPr fontId="1"/>
  </si>
  <si>
    <t>会津の烈女</t>
    <phoneticPr fontId="1"/>
  </si>
  <si>
    <t>刀を収め世を治める</t>
    <phoneticPr fontId="1"/>
  </si>
  <si>
    <t>R</t>
    <phoneticPr fontId="1"/>
  </si>
  <si>
    <t>女参事の隠れ鎧</t>
    <phoneticPr fontId="1"/>
  </si>
  <si>
    <t>タイプ姫・伝承の攻25％UP</t>
    <phoneticPr fontId="1"/>
  </si>
  <si>
    <t>幕末のスペンサー</t>
    <phoneticPr fontId="1"/>
  </si>
  <si>
    <t>タイプ【飲食】の攻30％DOWN</t>
    <phoneticPr fontId="1"/>
  </si>
  <si>
    <t>冷静明哲な女当主</t>
    <phoneticPr fontId="1"/>
  </si>
  <si>
    <t>タイプ【武人】の攻14％UP</t>
    <phoneticPr fontId="1"/>
  </si>
  <si>
    <t>逸る右将の胆力</t>
    <phoneticPr fontId="1"/>
  </si>
  <si>
    <t>タイプ【知性派】の防14％UP</t>
    <phoneticPr fontId="1"/>
  </si>
  <si>
    <t>武芸を羨む天崇の瞳</t>
    <phoneticPr fontId="1"/>
  </si>
  <si>
    <t>タイプ【偉人】の防16％DOWN</t>
    <phoneticPr fontId="1"/>
  </si>
  <si>
    <t>天皇に忠心を誓う公卿</t>
    <phoneticPr fontId="1"/>
  </si>
  <si>
    <t>タイプ【神秘】の防25％DOWN</t>
    <phoneticPr fontId="1"/>
  </si>
  <si>
    <t>天樹院の影響力</t>
    <phoneticPr fontId="1"/>
  </si>
  <si>
    <t>タイプ【武人】の防14％UP</t>
    <phoneticPr fontId="1"/>
  </si>
  <si>
    <t>明石狩りの逃走</t>
    <phoneticPr fontId="1"/>
  </si>
  <si>
    <t>タイプ【飲食】の攻14％UP</t>
    <phoneticPr fontId="1"/>
  </si>
  <si>
    <t>竹之丸の浄光</t>
    <phoneticPr fontId="1"/>
  </si>
  <si>
    <t>タイプ【妖怪】の攻16％DOWN</t>
    <phoneticPr fontId="1"/>
  </si>
  <si>
    <t>山形</t>
    <phoneticPr fontId="1"/>
  </si>
  <si>
    <t>手厚く深い馳走人</t>
    <phoneticPr fontId="1"/>
  </si>
  <si>
    <t>タイプ【武人】の防12％UP</t>
    <phoneticPr fontId="1"/>
  </si>
  <si>
    <t>東京</t>
    <phoneticPr fontId="1"/>
  </si>
  <si>
    <t>家康に最も愛された側室</t>
    <phoneticPr fontId="1"/>
  </si>
  <si>
    <t>タイプ【名物】の攻14％DOWN</t>
    <phoneticPr fontId="1"/>
  </si>
  <si>
    <t>大分</t>
    <phoneticPr fontId="1"/>
  </si>
  <si>
    <t>馬廻衆の水軍指揮</t>
    <phoneticPr fontId="1"/>
  </si>
  <si>
    <t>タイプ【知性派】の防12％UP</t>
    <phoneticPr fontId="1"/>
  </si>
  <si>
    <t>七手組商人の逸話</t>
    <phoneticPr fontId="1"/>
  </si>
  <si>
    <t>タイプ【飲食】の攻12％UP</t>
    <phoneticPr fontId="1"/>
  </si>
  <si>
    <t>19,19,17,9</t>
    <phoneticPr fontId="1"/>
  </si>
  <si>
    <t>てんすういんかつひめ</t>
    <phoneticPr fontId="1"/>
  </si>
  <si>
    <t>うだいしょうとくがわひでただ</t>
    <phoneticPr fontId="1"/>
  </si>
  <si>
    <t>とおのおんなだいみょうせいしんに</t>
    <phoneticPr fontId="1"/>
  </si>
  <si>
    <t>ばくまつじょけつにいじまやえ</t>
    <phoneticPr fontId="1"/>
  </si>
  <si>
    <t>処13+9+10 処13</t>
    <rPh sb="0" eb="1">
      <t>ショ</t>
    </rPh>
    <rPh sb="9" eb="10">
      <t>ショ</t>
    </rPh>
    <phoneticPr fontId="1"/>
  </si>
  <si>
    <t>しんせいげんそうたいせんまつおたせこ</t>
    <phoneticPr fontId="1"/>
  </si>
  <si>
    <t>[13],[10,9]</t>
    <phoneticPr fontId="1"/>
  </si>
  <si>
    <t>さんじょうさねとみ</t>
    <phoneticPr fontId="1"/>
  </si>
  <si>
    <t>井伊護る執念の女城主</t>
    <phoneticPr fontId="1"/>
  </si>
  <si>
    <t>天下無双の女丈夫</t>
    <phoneticPr fontId="1"/>
  </si>
  <si>
    <t>護法となりし大自然</t>
    <phoneticPr fontId="1"/>
  </si>
  <si>
    <t>タイプ武人・伝承の攻25％UP</t>
    <phoneticPr fontId="1"/>
  </si>
  <si>
    <t>[10,9]</t>
    <phoneticPr fontId="1"/>
  </si>
  <si>
    <t>幕末のスペンサー</t>
  </si>
  <si>
    <t>タイプ【飲食】の攻30％DOWN</t>
  </si>
  <si>
    <t>冷静明哲な女当主</t>
  </si>
  <si>
    <t>タイプ【武人】の攻14％UP</t>
  </si>
  <si>
    <t>逸る右将の胆力</t>
  </si>
  <si>
    <t>タイプ【知性派】の防14％UP</t>
  </si>
  <si>
    <t>武芸を羨む天崇の瞳</t>
  </si>
  <si>
    <t>タイプ【偉人】の防16％DOWN</t>
  </si>
  <si>
    <t>天皇に忠心を誓う公卿</t>
  </si>
  <si>
    <t>タイプ【神秘】の防25％DOWN</t>
  </si>
  <si>
    <t>天樹院の影響力</t>
  </si>
  <si>
    <t>タイプ【武人】の防14％UP</t>
  </si>
  <si>
    <t>明石狩りの逃走</t>
  </si>
  <si>
    <t>タイプ【飲食】の攻14％UP</t>
  </si>
  <si>
    <t>竹之丸の浄光</t>
  </si>
  <si>
    <t>タイプ【妖怪】の攻16％DOWN</t>
  </si>
  <si>
    <t>手厚く深い馳走人</t>
  </si>
  <si>
    <t>タイプ【武人】の防12％UP</t>
  </si>
  <si>
    <t>家康に最も愛された側室</t>
  </si>
  <si>
    <t>タイプ【名物】の攻14％DOWN</t>
  </si>
  <si>
    <t>馬廻衆の水軍指揮</t>
  </si>
  <si>
    <t>タイプ【知性派】の防12％UP</t>
  </si>
  <si>
    <t>七手組商人の逸話</t>
  </si>
  <si>
    <t>タイプ【飲食】の攻12％UP</t>
  </si>
  <si>
    <t>14,13,13,12</t>
    <phoneticPr fontId="1"/>
  </si>
  <si>
    <t>14+12+(13+13)</t>
    <phoneticPr fontId="1"/>
  </si>
  <si>
    <t>16,15,13,9</t>
    <phoneticPr fontId="1"/>
  </si>
  <si>
    <t>おんなじょうしゅいいなおとら</t>
    <phoneticPr fontId="1"/>
  </si>
  <si>
    <t>おんなじょうしゅみむらつる</t>
    <phoneticPr fontId="1"/>
  </si>
  <si>
    <t>しんせいおしじょうかいひめ</t>
    <phoneticPr fontId="1"/>
  </si>
  <si>
    <t>西日本</t>
    <phoneticPr fontId="1"/>
  </si>
  <si>
    <t>飲食</t>
    <phoneticPr fontId="1"/>
  </si>
  <si>
    <t>アカエンドウと甘いフルーツ</t>
    <phoneticPr fontId="1"/>
  </si>
  <si>
    <t>贅沢丸ごと丸柚餅子</t>
    <phoneticPr fontId="1"/>
  </si>
  <si>
    <t>タイプ神秘・知性派の防25％UP</t>
    <phoneticPr fontId="1"/>
  </si>
  <si>
    <t>しんせいゆべし</t>
    <phoneticPr fontId="1"/>
  </si>
  <si>
    <t>14,13</t>
    <phoneticPr fontId="1"/>
  </si>
  <si>
    <t>しんせいみつまめちゃん</t>
    <phoneticPr fontId="1"/>
  </si>
  <si>
    <t>みやこのたわーせとうちれもん</t>
    <phoneticPr fontId="1"/>
  </si>
  <si>
    <t>愛知</t>
    <rPh sb="0" eb="2">
      <t>アイチ</t>
    </rPh>
    <phoneticPr fontId="1"/>
  </si>
  <si>
    <t>天下太閤の妹</t>
    <phoneticPr fontId="1"/>
  </si>
  <si>
    <t>タイプ武人・伝承の防25％UP</t>
    <phoneticPr fontId="1"/>
  </si>
  <si>
    <t>謎めくアイドル</t>
    <phoneticPr fontId="1"/>
  </si>
  <si>
    <t>愛する人に捧ぐ新年のメロディ</t>
    <phoneticPr fontId="1"/>
  </si>
  <si>
    <t>13,13,10,9</t>
    <phoneticPr fontId="1"/>
  </si>
  <si>
    <t>処13+9+10 処13</t>
    <rPh sb="0" eb="1">
      <t>ショ</t>
    </rPh>
    <rPh sb="9" eb="10">
      <t>ショ</t>
    </rPh>
    <phoneticPr fontId="1"/>
  </si>
  <si>
    <t>しんせいあさひひめ</t>
    <phoneticPr fontId="1"/>
  </si>
  <si>
    <t>17,17,13,9</t>
    <phoneticPr fontId="1"/>
  </si>
  <si>
    <t>処14+13</t>
    <rPh sb="0" eb="1">
      <t>ショ</t>
    </rPh>
    <phoneticPr fontId="1"/>
  </si>
  <si>
    <t>しんせいやぎゅうむねよし</t>
    <phoneticPr fontId="1"/>
  </si>
  <si>
    <t>つきみざけなかのたけこ</t>
    <phoneticPr fontId="1"/>
  </si>
  <si>
    <t>しんせいあいどるおののおつう</t>
    <phoneticPr fontId="1"/>
  </si>
  <si>
    <t>16,14,13,12</t>
    <phoneticPr fontId="1"/>
  </si>
  <si>
    <t>16+12+(14+13)</t>
    <phoneticPr fontId="1"/>
  </si>
  <si>
    <t>しんねんおんがくかいおたあじゅりあ</t>
    <phoneticPr fontId="1"/>
  </si>
  <si>
    <t>てんじゅいんせんひめ</t>
    <phoneticPr fontId="1"/>
  </si>
  <si>
    <t>ID</t>
    <phoneticPr fontId="2"/>
  </si>
  <si>
    <t>せいぶげきとくがわよしのぶ</t>
    <phoneticPr fontId="1"/>
  </si>
  <si>
    <t>徳川最後のカウボーイ</t>
    <phoneticPr fontId="1"/>
  </si>
  <si>
    <t>タイプ偉人・妖怪・名物の攻45％UP</t>
    <phoneticPr fontId="1"/>
  </si>
  <si>
    <t>しんせいばすばーがー</t>
    <phoneticPr fontId="1"/>
  </si>
  <si>
    <t>タルタル添えの外来種</t>
    <phoneticPr fontId="1"/>
  </si>
  <si>
    <t>九州・沖縄</t>
    <rPh sb="0" eb="2">
      <t>キュウシュウ</t>
    </rPh>
    <rPh sb="3" eb="5">
      <t>オキナワ</t>
    </rPh>
    <phoneticPr fontId="1"/>
  </si>
  <si>
    <t>西部の守護者</t>
    <phoneticPr fontId="1"/>
  </si>
  <si>
    <t>15,13,13,13</t>
    <phoneticPr fontId="1"/>
  </si>
  <si>
    <t>17,16,14,9</t>
    <phoneticPr fontId="1"/>
  </si>
  <si>
    <t>13,13,10,9</t>
    <phoneticPr fontId="1"/>
  </si>
  <si>
    <t>処17+9+14 処16</t>
    <rPh sb="0" eb="1">
      <t>ショ</t>
    </rPh>
    <rPh sb="9" eb="10">
      <t>ショ</t>
    </rPh>
    <phoneticPr fontId="1"/>
  </si>
  <si>
    <t>処13+9+10 処13</t>
    <rPh sb="0" eb="1">
      <t>ショ</t>
    </rPh>
    <rPh sb="9" eb="10">
      <t>ショ</t>
    </rPh>
    <phoneticPr fontId="1"/>
  </si>
  <si>
    <t>しんせいうえすたんしまづたかひさ</t>
    <phoneticPr fontId="1"/>
  </si>
  <si>
    <t>20+13+(17+16),15</t>
    <phoneticPr fontId="1"/>
  </si>
  <si>
    <t>20,17,16,13,(古豪戦傑ガチャ15)</t>
    <rPh sb="13" eb="15">
      <t>コゴウ</t>
    </rPh>
    <rPh sb="15" eb="16">
      <t>セン</t>
    </rPh>
    <rPh sb="16" eb="17">
      <t>ケツ</t>
    </rPh>
    <phoneticPr fontId="1"/>
  </si>
  <si>
    <t>10,9,[9]</t>
    <phoneticPr fontId="1"/>
  </si>
  <si>
    <t>[10]</t>
    <phoneticPr fontId="1"/>
  </si>
  <si>
    <t>飲食</t>
    <rPh sb="0" eb="2">
      <t>インショク</t>
    </rPh>
    <phoneticPr fontId="1"/>
  </si>
  <si>
    <t>カロリーの小悪魔</t>
    <phoneticPr fontId="1"/>
  </si>
  <si>
    <t>ほろ苦リンゴは毒蜜の味</t>
    <phoneticPr fontId="1"/>
  </si>
  <si>
    <t>心に作用する甘い香り</t>
    <phoneticPr fontId="1"/>
  </si>
  <si>
    <t>タイプ神秘・知性派の攻25％UP</t>
    <phoneticPr fontId="1"/>
  </si>
  <si>
    <t>ごにんしゅうあかしたけのり</t>
    <phoneticPr fontId="1"/>
  </si>
  <si>
    <t>ごにんしゅうあかしたけのり</t>
    <phoneticPr fontId="1"/>
  </si>
  <si>
    <t>じょうこういんたけのまるどの</t>
    <phoneticPr fontId="1"/>
  </si>
  <si>
    <t>じょうこういんたけのまるどの</t>
    <phoneticPr fontId="1"/>
  </si>
  <si>
    <t>読み方</t>
    <rPh sb="0" eb="1">
      <t>ヨ</t>
    </rPh>
    <rPh sb="2" eb="3">
      <t>カタ</t>
    </rPh>
    <phoneticPr fontId="2"/>
  </si>
  <si>
    <t>MAX防</t>
    <phoneticPr fontId="2"/>
  </si>
  <si>
    <t>MAX攻</t>
    <phoneticPr fontId="2"/>
  </si>
  <si>
    <t>獲得</t>
    <rPh sb="0" eb="2">
      <t>カクトク</t>
    </rPh>
    <phoneticPr fontId="1"/>
  </si>
  <si>
    <t>西日本</t>
    <rPh sb="0" eb="3">
      <t>ニシニホン</t>
    </rPh>
    <phoneticPr fontId="1"/>
  </si>
  <si>
    <t>伝承</t>
    <phoneticPr fontId="1"/>
  </si>
  <si>
    <t>気配りと心配り</t>
    <phoneticPr fontId="1"/>
  </si>
  <si>
    <t>奪われた雷神の角</t>
    <phoneticPr fontId="1"/>
  </si>
  <si>
    <t>憎しみが生んだ呪術</t>
    <phoneticPr fontId="1"/>
  </si>
  <si>
    <t>タイプ武人・姫の防25％UP</t>
    <phoneticPr fontId="1"/>
  </si>
  <si>
    <t>14,13,12</t>
    <phoneticPr fontId="1"/>
  </si>
  <si>
    <t>16,16,13,9</t>
    <phoneticPr fontId="1"/>
  </si>
  <si>
    <t>13,13,10,9</t>
    <phoneticPr fontId="1"/>
  </si>
  <si>
    <t>15,13,13,13</t>
    <phoneticPr fontId="1"/>
  </si>
  <si>
    <t>17,16,14,9</t>
    <phoneticPr fontId="1"/>
  </si>
  <si>
    <t>13,13,10,9</t>
    <phoneticPr fontId="1"/>
  </si>
  <si>
    <t>処13+9+10 処13</t>
    <rPh sb="0" eb="1">
      <t>ショ</t>
    </rPh>
    <rPh sb="9" eb="10">
      <t>ショ</t>
    </rPh>
    <phoneticPr fontId="1"/>
  </si>
  <si>
    <t>しんせいうしのこくまいり</t>
    <phoneticPr fontId="1"/>
  </si>
  <si>
    <t>東日本</t>
    <rPh sb="0" eb="1">
      <t>ヒガシ</t>
    </rPh>
    <rPh sb="1" eb="3">
      <t>ニホン</t>
    </rPh>
    <phoneticPr fontId="1"/>
  </si>
  <si>
    <t>妖怪</t>
    <rPh sb="0" eb="2">
      <t>ヨウカイ</t>
    </rPh>
    <phoneticPr fontId="1"/>
  </si>
  <si>
    <t>招き猫の戯れ</t>
    <phoneticPr fontId="1"/>
  </si>
  <si>
    <t>まねきねこあぷとるやむぺうぇんゆく</t>
    <phoneticPr fontId="1"/>
  </si>
  <si>
    <t>しんせいなべしまのばけねこ</t>
    <phoneticPr fontId="1"/>
  </si>
  <si>
    <t>血猫の呪怨</t>
    <phoneticPr fontId="1"/>
  </si>
  <si>
    <t>タイプ偉人・名物の防25％UP</t>
    <phoneticPr fontId="1"/>
  </si>
  <si>
    <t>人と寄り添ういたずら猫</t>
    <phoneticPr fontId="1"/>
  </si>
  <si>
    <t>しんせいはりまのばけねこ</t>
    <phoneticPr fontId="1"/>
  </si>
  <si>
    <t>16,15,14</t>
    <phoneticPr fontId="1"/>
  </si>
  <si>
    <t>16,16,12,9</t>
    <phoneticPr fontId="1"/>
  </si>
  <si>
    <t>処16+9+12 処16</t>
    <rPh sb="0" eb="1">
      <t>ショ</t>
    </rPh>
    <rPh sb="9" eb="10">
      <t>ショ</t>
    </rPh>
    <phoneticPr fontId="1"/>
  </si>
  <si>
    <t>処13+9+10 処13</t>
    <rPh sb="0" eb="1">
      <t>ショ</t>
    </rPh>
    <rPh sb="9" eb="10">
      <t>ショ</t>
    </rPh>
    <phoneticPr fontId="1"/>
  </si>
  <si>
    <t>しんせいもんすたーかもみーるてぃーちゃん</t>
    <phoneticPr fontId="1"/>
  </si>
  <si>
    <t>しんせいしらゆきひめちょこれーとけーき</t>
    <phoneticPr fontId="1"/>
  </si>
  <si>
    <t>処16+9+13 処16</t>
    <rPh sb="0" eb="1">
      <t>ショ</t>
    </rPh>
    <rPh sb="9" eb="10">
      <t>ショ</t>
    </rPh>
    <phoneticPr fontId="1"/>
  </si>
  <si>
    <t>倉庫行き</t>
    <rPh sb="0" eb="2">
      <t>ソウコ</t>
    </rPh>
    <rPh sb="2" eb="3">
      <t>イ</t>
    </rPh>
    <phoneticPr fontId="1"/>
  </si>
  <si>
    <t>ぷちでびるほっかいどうばたーちゃん</t>
    <phoneticPr fontId="1"/>
  </si>
  <si>
    <t>西日本</t>
    <rPh sb="0" eb="1">
      <t>ニシ</t>
    </rPh>
    <rPh sb="1" eb="3">
      <t>ニホン</t>
    </rPh>
    <phoneticPr fontId="1"/>
  </si>
  <si>
    <t>関東</t>
    <rPh sb="0" eb="2">
      <t>カントウ</t>
    </rPh>
    <phoneticPr fontId="1"/>
  </si>
  <si>
    <t>ちゅうかはんてんらむねちゃん</t>
    <phoneticPr fontId="1"/>
  </si>
  <si>
    <t>しんせいおきなわそばちゃん</t>
    <phoneticPr fontId="1"/>
  </si>
  <si>
    <t>しんせいちゅうかまんちゃん</t>
    <phoneticPr fontId="1"/>
  </si>
  <si>
    <t>甘い中華はいかがですか？</t>
    <phoneticPr fontId="1"/>
  </si>
  <si>
    <t>沖縄育ちの支那すば</t>
    <phoneticPr fontId="1"/>
  </si>
  <si>
    <t>包んでふんわり割れてほかほか</t>
    <phoneticPr fontId="1"/>
  </si>
  <si>
    <t>処17+9+14 処16</t>
    <rPh sb="0" eb="1">
      <t>ショ</t>
    </rPh>
    <rPh sb="9" eb="10">
      <t>ショ</t>
    </rPh>
    <phoneticPr fontId="1"/>
  </si>
  <si>
    <t>しんせいとかちのらいじん</t>
    <phoneticPr fontId="1"/>
  </si>
  <si>
    <t>ふれっしゅみるくよくぶかにょうぼう</t>
    <phoneticPr fontId="1"/>
  </si>
  <si>
    <t>まのよりかね</t>
    <phoneticPr fontId="1"/>
  </si>
  <si>
    <t>はやかわながまさ</t>
    <phoneticPr fontId="1"/>
  </si>
  <si>
    <t>あちゃのつぼね</t>
    <phoneticPr fontId="1"/>
  </si>
  <si>
    <t>おせんのかた</t>
    <phoneticPr fontId="1"/>
  </si>
  <si>
    <t>[11,11,11]</t>
    <phoneticPr fontId="1"/>
  </si>
  <si>
    <t>16,15</t>
    <phoneticPr fontId="1"/>
  </si>
  <si>
    <t>16,16,13,9</t>
    <phoneticPr fontId="1"/>
  </si>
  <si>
    <t>処16+9+13 処16</t>
    <rPh sb="0" eb="1">
      <t>ショ</t>
    </rPh>
    <rPh sb="9" eb="10">
      <t>ショ</t>
    </rPh>
    <phoneticPr fontId="1"/>
  </si>
  <si>
    <t>[10,9]</t>
    <phoneticPr fontId="1"/>
  </si>
  <si>
    <t>画像</t>
    <rPh sb="0" eb="2">
      <t>ガゾウ</t>
    </rPh>
    <phoneticPr fontId="1"/>
  </si>
  <si>
    <t>【女城主】井伊直虎</t>
  </si>
  <si>
    <t>【女城主】三村鶴</t>
  </si>
  <si>
    <t>[新生]【忍城】甲斐姫</t>
  </si>
  <si>
    <t>【幕末女傑】新島八重</t>
  </si>
  <si>
    <t>【遠野女大名】清心尼</t>
  </si>
  <si>
    <t>【右大将】徳川秀忠</t>
  </si>
  <si>
    <t>【天崇院】勝姫</t>
  </si>
  <si>
    <t>三条実美</t>
  </si>
  <si>
    <t>【天樹院】千姫</t>
  </si>
  <si>
    <t>【五人衆】明石全登</t>
  </si>
  <si>
    <t>【浄光院】竹之丸殿</t>
  </si>
  <si>
    <t>お船の方</t>
  </si>
  <si>
    <t>阿茶局</t>
  </si>
  <si>
    <t>早川長政</t>
  </si>
  <si>
    <t>真野頼包</t>
  </si>
  <si>
    <t>【月見酒】中野竹子</t>
  </si>
  <si>
    <t>[新生]柳生宗厳</t>
  </si>
  <si>
    <t>[新生]【幻想大戦】松尾多勢子</t>
  </si>
  <si>
    <t>【みやこのタワー】瀬戸内レモン</t>
  </si>
  <si>
    <t>[新生]みつまめちゃん</t>
  </si>
  <si>
    <t>[新生]ゆべし</t>
  </si>
  <si>
    <t>【新年音楽会】おたあジュリア</t>
  </si>
  <si>
    <t>[新生]【アイドル】小野お通</t>
  </si>
  <si>
    <t>[新生]朝日姫</t>
  </si>
  <si>
    <t>【西部劇】徳川慶喜</t>
  </si>
  <si>
    <t>[新生]バスバーガー</t>
  </si>
  <si>
    <t>[新生]【ウエスタン】島津貴久</t>
  </si>
  <si>
    <t>【プチデビル】北海道バターちゃん</t>
  </si>
  <si>
    <t>[新生]【白雪姫】チョコレートケーキ</t>
  </si>
  <si>
    <t>[新生]【MONSTER】カモミールティーちゃん</t>
  </si>
  <si>
    <t>【フレッシュミルク】欲深女房</t>
  </si>
  <si>
    <t>[新生]丑の刻参り</t>
  </si>
  <si>
    <t>【招き猫】アプトルヤムペウェンユク</t>
  </si>
  <si>
    <t>[新生]鍋島の化け猫</t>
  </si>
  <si>
    <t>[新生]播磨の化け猫</t>
  </si>
  <si>
    <t>【中華飯店】ラムネちゃん</t>
  </si>
  <si>
    <t>[新生]沖縄そばちゃん</t>
  </si>
  <si>
    <t>[新生]中華まんちゃん</t>
  </si>
  <si>
    <t>スキル効果</t>
    <rPh sb="3" eb="5">
      <t>コウカ</t>
    </rPh>
    <phoneticPr fontId="1"/>
  </si>
  <si>
    <t>2019/06/10古豪戦傑ガチャ</t>
    <phoneticPr fontId="1"/>
  </si>
  <si>
    <t>備考</t>
    <rPh sb="0" eb="2">
      <t>ビコウ</t>
    </rPh>
    <phoneticPr fontId="1"/>
  </si>
  <si>
    <t>2019/07/19古豪戦傑ガチャ</t>
    <rPh sb="10" eb="12">
      <t>コゴウ</t>
    </rPh>
    <rPh sb="12" eb="13">
      <t>セン</t>
    </rPh>
    <rPh sb="13" eb="14">
      <t>ケツ</t>
    </rPh>
    <phoneticPr fontId="1"/>
  </si>
  <si>
    <t>2019/10/22古豪戦傑ガチャ</t>
    <rPh sb="10" eb="12">
      <t>コゴウ</t>
    </rPh>
    <rPh sb="12" eb="13">
      <t>セン</t>
    </rPh>
    <rPh sb="13" eb="14">
      <t>ケツ</t>
    </rPh>
    <phoneticPr fontId="1"/>
  </si>
  <si>
    <t>2020/02/20古豪戦傑ガチャ</t>
    <rPh sb="10" eb="12">
      <t>コゴウ</t>
    </rPh>
    <rPh sb="12" eb="13">
      <t>セン</t>
    </rPh>
    <rPh sb="13" eb="14">
      <t>ケツ</t>
    </rPh>
    <phoneticPr fontId="1"/>
  </si>
  <si>
    <t>2020/08/19古豪戦傑ガチャ</t>
    <phoneticPr fontId="1"/>
  </si>
  <si>
    <t>処16+9+(15+13)</t>
    <rPh sb="0" eb="1">
      <t>ショ</t>
    </rPh>
    <phoneticPr fontId="1"/>
  </si>
  <si>
    <t>処19+17+19,9</t>
    <phoneticPr fontId="1"/>
  </si>
  <si>
    <t>処17+9+(17+13)</t>
    <phoneticPr fontId="1"/>
  </si>
  <si>
    <t>タイプ神秘・知性派の攻30％UP　/　タイプ【飲食】の攻45％UP</t>
  </si>
  <si>
    <t>タイプ神秘・知性派の防30％UP　/　タイプ【飲食】の防20％UP</t>
  </si>
  <si>
    <t>タイプ【武人】の防85％UP　/　タイプ姫・伝承の防25％UP</t>
  </si>
  <si>
    <t>タイプ武人・伝承の攻30％UP　/　タイプ【姫】の攻20％UP</t>
  </si>
  <si>
    <t>タイプ姫・伝承の攻25％UP　/　タイプ【武人】の攻10％UP</t>
  </si>
  <si>
    <t>タイプ姫・伝承の防30％UP　/　タイプ【武人】の防20％UP</t>
  </si>
  <si>
    <t>タイプ神秘・知性派の防45％UP　/　タイプ【飲食】の防15％UP</t>
  </si>
  <si>
    <t>タイプ神秘・知性派の攻30％UP　/　タイプ【飲食】の攻20％UP</t>
  </si>
  <si>
    <t>タイプ神秘・知性派の攻40％UP　/　タイプ【飲食】の攻25％UP</t>
  </si>
  <si>
    <t>タイプ伝承・武人・姫の防30％UP　/　タイプ神秘・知性派・飲食・武人の攻13％DOWN</t>
  </si>
  <si>
    <t>タイプ武人・姫の攻30％UP　/　タイプ【伝承】の攻20％UP</t>
  </si>
  <si>
    <t>タイプ飲食・武人の攻90％DOWN　/　タイプ偉人・名物の防30％UP</t>
  </si>
  <si>
    <t>タイプ偉人・名物の攻30％UP　/　タイプ【妖怪】の攻20％UP</t>
  </si>
  <si>
    <t>図鑑無 処10+竜+9</t>
    <rPh sb="0" eb="2">
      <t>ズカン</t>
    </rPh>
    <rPh sb="8" eb="9">
      <t>リュウ</t>
    </rPh>
    <phoneticPr fontId="1"/>
  </si>
  <si>
    <t>図鑑無</t>
  </si>
  <si>
    <t>図鑑無 処13+9+10</t>
    <rPh sb="4" eb="5">
      <t>ショ</t>
    </rPh>
    <phoneticPr fontId="1"/>
  </si>
  <si>
    <t>図鑑無 処10+竜+9</t>
    <rPh sb="4" eb="5">
      <t>ショ</t>
    </rPh>
    <rPh sb="8" eb="9">
      <t>リュウ</t>
    </rPh>
    <phoneticPr fontId="1"/>
  </si>
  <si>
    <t>図鑑無 処10+9+9</t>
    <rPh sb="4" eb="5">
      <t>ショ</t>
    </rPh>
    <phoneticPr fontId="1"/>
  </si>
  <si>
    <t>図鑑無 処10+竜+竜</t>
    <rPh sb="4" eb="5">
      <t>ショ</t>
    </rPh>
    <rPh sb="8" eb="9">
      <t>リュウ</t>
    </rPh>
    <rPh sb="10" eb="11">
      <t>リュウ</t>
    </rPh>
    <phoneticPr fontId="1"/>
  </si>
  <si>
    <t>図鑑無 11+11+11</t>
  </si>
  <si>
    <t>14+12+13</t>
    <phoneticPr fontId="1"/>
  </si>
  <si>
    <t>[新生]十勝の雷神</t>
    <phoneticPr fontId="1"/>
  </si>
  <si>
    <t>16+14+15</t>
    <phoneticPr fontId="1"/>
  </si>
  <si>
    <t>図鑑済</t>
    <phoneticPr fontId="1"/>
  </si>
  <si>
    <t>図鑑済 処10,9</t>
    <rPh sb="4" eb="5">
      <t>ショ</t>
    </rPh>
    <phoneticPr fontId="1"/>
  </si>
  <si>
    <t>15(↑3進後18・古豪ガチャ)+13+(13+13)</t>
    <rPh sb="5" eb="6">
      <t>シン</t>
    </rPh>
    <rPh sb="6" eb="7">
      <t>ゴ</t>
    </rPh>
    <rPh sb="10" eb="12">
      <t>コゴウ</t>
    </rPh>
    <phoneticPr fontId="1"/>
  </si>
  <si>
    <t>2020/10/20古豪戦傑ガチャ</t>
    <phoneticPr fontId="1"/>
  </si>
  <si>
    <t>2020/11/21古豪戦傑ガチャ</t>
    <phoneticPr fontId="1"/>
  </si>
  <si>
    <t>15+13+13,13</t>
    <phoneticPr fontId="1"/>
  </si>
  <si>
    <t>2021/05/25古豪戦傑ガチャ</t>
    <rPh sb="10" eb="12">
      <t>コゴウ</t>
    </rPh>
    <rPh sb="12" eb="13">
      <t>セン</t>
    </rPh>
    <rPh sb="13" eb="14">
      <t>ケツ</t>
    </rPh>
    <phoneticPr fontId="1"/>
  </si>
  <si>
    <t>しんせいわかやまぼくすい</t>
    <phoneticPr fontId="1"/>
  </si>
  <si>
    <t>しんせいいんのしますいぐんまつり</t>
    <phoneticPr fontId="1"/>
  </si>
  <si>
    <t>しんせいほしくまどうじ</t>
    <phoneticPr fontId="1"/>
  </si>
  <si>
    <t>しんせいしんげんそふとちゃん</t>
    <phoneticPr fontId="1"/>
  </si>
  <si>
    <t>しんせいきぬぬまのはたおりひめ</t>
    <phoneticPr fontId="1"/>
  </si>
  <si>
    <t>しんせいうしわかまる</t>
    <phoneticPr fontId="1"/>
  </si>
  <si>
    <t>美貌と直心の剣舞</t>
    <phoneticPr fontId="1"/>
  </si>
  <si>
    <t>銘菓とソフトの融合</t>
    <phoneticPr fontId="1"/>
  </si>
  <si>
    <t>邪刑怒りし四天の鬼</t>
    <phoneticPr fontId="1"/>
  </si>
  <si>
    <t>絹肌の梭き込み</t>
    <phoneticPr fontId="1"/>
  </si>
  <si>
    <t>伝令船の跳舞</t>
    <phoneticPr fontId="1"/>
  </si>
  <si>
    <t>三度の飯より旅行酒</t>
    <phoneticPr fontId="1"/>
  </si>
  <si>
    <t>妖怪</t>
    <phoneticPr fontId="1"/>
  </si>
  <si>
    <t>名物</t>
    <phoneticPr fontId="1"/>
  </si>
  <si>
    <t>知性派</t>
    <phoneticPr fontId="1"/>
  </si>
  <si>
    <t>処20+20+20</t>
    <rPh sb="0" eb="1">
      <t>ショ</t>
    </rPh>
    <phoneticPr fontId="1"/>
  </si>
  <si>
    <t>[新生]牛若丸</t>
    <phoneticPr fontId="1"/>
  </si>
  <si>
    <t>[新生]鬼怒沼の機織り姫</t>
    <phoneticPr fontId="1"/>
  </si>
  <si>
    <t>[新生]信玄ソフトちゃん</t>
    <phoneticPr fontId="1"/>
  </si>
  <si>
    <t>[新生]星熊童子</t>
    <phoneticPr fontId="1"/>
  </si>
  <si>
    <t>[新生]因島水軍まつり</t>
    <phoneticPr fontId="1"/>
  </si>
  <si>
    <t>[新生]若山牧水</t>
    <phoneticPr fontId="1"/>
  </si>
  <si>
    <t>20,20,20</t>
    <phoneticPr fontId="1"/>
  </si>
  <si>
    <t>処20+20+20,20</t>
    <rPh sb="0" eb="1">
      <t>ショ</t>
    </rPh>
    <phoneticPr fontId="1"/>
  </si>
  <si>
    <t>20,20,20,20</t>
    <phoneticPr fontId="1"/>
  </si>
  <si>
    <t>タイプ姫・伝承の攻35％UP　/　タイプ【武人】の攻20％UP</t>
  </si>
  <si>
    <t>タイプ武人・姫の攻35％UP　/　タイプ【伝承】の攻20％UP</t>
  </si>
  <si>
    <t>タイプ神秘・知性派の攻35％UP　/　タイプ【飲食】の攻20％UP</t>
  </si>
  <si>
    <t>タイプ偉人・名物の攻35％UP　/　タイプ【妖怪】の攻20％UP</t>
  </si>
  <si>
    <t>タイプ偉人・妖怪の攻35％UP　/　タイプ【名物】の攻20％UP</t>
  </si>
  <si>
    <t>―</t>
  </si>
  <si>
    <t>西日本→全国</t>
    <rPh sb="0" eb="3">
      <t>ニシニホン</t>
    </rPh>
    <rPh sb="4" eb="6">
      <t>ゼンコク</t>
    </rPh>
    <phoneticPr fontId="1"/>
  </si>
  <si>
    <t>東日本→全国</t>
    <rPh sb="0" eb="3">
      <t>ヒガシニホン</t>
    </rPh>
    <rPh sb="4" eb="6">
      <t>ゼンコク</t>
    </rPh>
    <phoneticPr fontId="1"/>
  </si>
  <si>
    <t>天下統一2021メダル交換隊士</t>
    <phoneticPr fontId="1"/>
  </si>
  <si>
    <t>タイプ【偉人】の攻20％UP</t>
    <phoneticPr fontId="1"/>
  </si>
  <si>
    <t>つむじ風の悪神</t>
    <phoneticPr fontId="1"/>
  </si>
  <si>
    <t>[新生]鎌鼬</t>
    <phoneticPr fontId="1"/>
  </si>
  <si>
    <t>無所属</t>
    <phoneticPr fontId="1"/>
  </si>
  <si>
    <t>タイプ【飲食】の攻20％UP</t>
    <phoneticPr fontId="1"/>
  </si>
  <si>
    <t>８７首目の僧侶</t>
    <phoneticPr fontId="1"/>
  </si>
  <si>
    <t>[新生]寂蓮法師</t>
    <phoneticPr fontId="1"/>
  </si>
  <si>
    <t>宮城</t>
    <phoneticPr fontId="1"/>
  </si>
  <si>
    <t>タイプ【妖怪】の攻20％UP</t>
    <phoneticPr fontId="1"/>
  </si>
  <si>
    <t>筆の都より愛を込めて</t>
    <phoneticPr fontId="1"/>
  </si>
  <si>
    <t>[新生]【聖櫻学園】熊野筆ちゃん</t>
    <phoneticPr fontId="1"/>
  </si>
  <si>
    <t>広島</t>
    <phoneticPr fontId="1"/>
  </si>
  <si>
    <t>タイプ【神秘】の攻20％UP</t>
    <phoneticPr fontId="1"/>
  </si>
  <si>
    <t>月夜のお団子</t>
    <phoneticPr fontId="1"/>
  </si>
  <si>
    <t>[新生]お月見団子ちゃん</t>
    <phoneticPr fontId="1"/>
  </si>
  <si>
    <t>タイプ【伝承】の攻20％UP</t>
    <phoneticPr fontId="1"/>
  </si>
  <si>
    <t>先駆も殿も金魚すくいも滝川</t>
    <phoneticPr fontId="1"/>
  </si>
  <si>
    <t>[新生]【男祭り】滝川一益</t>
    <phoneticPr fontId="1"/>
  </si>
  <si>
    <t>愛知</t>
    <phoneticPr fontId="1"/>
  </si>
  <si>
    <t>タイプ【知性派】の攻20％UP</t>
    <phoneticPr fontId="1"/>
  </si>
  <si>
    <t>幸せの黄色い果実</t>
    <phoneticPr fontId="1"/>
  </si>
  <si>
    <t>[新生]パインクレープ</t>
    <phoneticPr fontId="1"/>
  </si>
  <si>
    <t>沖縄</t>
    <phoneticPr fontId="1"/>
  </si>
  <si>
    <t>タイプ【飲食】の防20％UP</t>
    <phoneticPr fontId="1"/>
  </si>
  <si>
    <t>駒と鍵盤の競演</t>
    <phoneticPr fontId="1"/>
  </si>
  <si>
    <t>[新生]【華麗なる】棋士</t>
    <phoneticPr fontId="1"/>
  </si>
  <si>
    <t>タイプ【姫】の防20％UP</t>
    <phoneticPr fontId="1"/>
  </si>
  <si>
    <t>長距離飛行の渡り蝶</t>
    <phoneticPr fontId="1"/>
  </si>
  <si>
    <t>[新生]浅葱</t>
    <phoneticPr fontId="1"/>
  </si>
  <si>
    <t>京都</t>
    <phoneticPr fontId="1"/>
  </si>
  <si>
    <t>タイプ【神秘】の防20％UP</t>
    <phoneticPr fontId="1"/>
  </si>
  <si>
    <t>湧く湧くワカサギ釣り！</t>
    <phoneticPr fontId="1"/>
  </si>
  <si>
    <t>[新生]ワカサギ</t>
    <phoneticPr fontId="1"/>
  </si>
  <si>
    <t>神奈川</t>
    <phoneticPr fontId="1"/>
  </si>
  <si>
    <t>タイプ【偉人】の防20％UP</t>
    <phoneticPr fontId="1"/>
  </si>
  <si>
    <t>お手軽ブービートラップ</t>
    <phoneticPr fontId="1"/>
  </si>
  <si>
    <t>[新生]落とし穴</t>
    <phoneticPr fontId="1"/>
  </si>
  <si>
    <t>タイプ【妖怪】の防20％UP</t>
    <phoneticPr fontId="1"/>
  </si>
  <si>
    <t>悪霊祓いの赤色</t>
    <phoneticPr fontId="1"/>
  </si>
  <si>
    <t>[新生]さるぼぼ</t>
    <phoneticPr fontId="1"/>
  </si>
  <si>
    <t>岐阜</t>
    <phoneticPr fontId="1"/>
  </si>
  <si>
    <t>タイプ【武人】の防20％UP</t>
    <phoneticPr fontId="1"/>
  </si>
  <si>
    <t>信実の走り</t>
    <phoneticPr fontId="1"/>
  </si>
  <si>
    <t>[新生]メロス</t>
    <phoneticPr fontId="1"/>
  </si>
  <si>
    <t>タイプ神秘・知性派の攻20％UP</t>
    <phoneticPr fontId="1"/>
  </si>
  <si>
    <t>一歩ずつの努力</t>
    <phoneticPr fontId="1"/>
  </si>
  <si>
    <t>[新生]【二人三脚】サクランボちゃん</t>
    <phoneticPr fontId="1"/>
  </si>
  <si>
    <t>天下統一2021メダル【金】消費引換券数：20枚</t>
    <rPh sb="14" eb="16">
      <t>ショウヒ</t>
    </rPh>
    <rPh sb="16" eb="19">
      <t>ヒキカエケン</t>
    </rPh>
    <rPh sb="19" eb="20">
      <t>スウ</t>
    </rPh>
    <phoneticPr fontId="1"/>
  </si>
  <si>
    <t>天下統一2021メダル【金】消費引換券数：10枚</t>
    <phoneticPr fontId="1"/>
  </si>
  <si>
    <t>天下統一2021メダル【金】消費引換券数：1枚</t>
    <phoneticPr fontId="1"/>
  </si>
  <si>
    <t>天下統一2021メダル【銀】消費引換券数：15枚</t>
    <rPh sb="12" eb="13">
      <t>ギン</t>
    </rPh>
    <phoneticPr fontId="1"/>
  </si>
  <si>
    <t>天下統一2021メダル【銀】消費引換券数：1枚</t>
    <phoneticPr fontId="1"/>
  </si>
  <si>
    <t>天下統一2021メダル【銅】消費引換券数：10枚</t>
    <rPh sb="12" eb="13">
      <t>ドウ</t>
    </rPh>
    <phoneticPr fontId="1"/>
  </si>
  <si>
    <t>天下統一2021メダル【銅】消費引換券数：1枚</t>
    <rPh sb="12" eb="13">
      <t>ドウ</t>
    </rPh>
    <phoneticPr fontId="1"/>
  </si>
  <si>
    <t>タイプ偉人・妖怪の防20％UP</t>
    <phoneticPr fontId="1"/>
  </si>
  <si>
    <t>鎮魂の伝統花火</t>
    <phoneticPr fontId="1"/>
  </si>
  <si>
    <t>[新生]浅川の花火ちゃん</t>
    <phoneticPr fontId="1"/>
  </si>
  <si>
    <t>タイプ姫・伝承の攻20％UP</t>
    <phoneticPr fontId="1"/>
  </si>
  <si>
    <t>徳川赤備えの救助</t>
    <phoneticPr fontId="1"/>
  </si>
  <si>
    <t>[新生]【レスキュー】井伊直政</t>
    <phoneticPr fontId="1"/>
  </si>
  <si>
    <t>タイプ武人・伝承の防20％UP</t>
    <phoneticPr fontId="1"/>
  </si>
  <si>
    <t>大多喜城に響く音色</t>
    <phoneticPr fontId="1"/>
  </si>
  <si>
    <t>[新生]於久の方</t>
    <phoneticPr fontId="1"/>
  </si>
  <si>
    <t>タイプ神秘・飲食の攻20％UP</t>
    <phoneticPr fontId="1"/>
  </si>
  <si>
    <t>甲賀衆の偵察風景</t>
    <phoneticPr fontId="1"/>
  </si>
  <si>
    <t>[新生]【木遁】望月千代女</t>
    <phoneticPr fontId="1"/>
  </si>
  <si>
    <t>タイプ神秘・知性派の防20％UP</t>
    <phoneticPr fontId="1"/>
  </si>
  <si>
    <t>桃饅頭に詰めた夢</t>
    <phoneticPr fontId="1"/>
  </si>
  <si>
    <t>[新生]【中国茶】モモちゃん</t>
    <phoneticPr fontId="1"/>
  </si>
  <si>
    <t>タイプ武人・姫の攻20％UP</t>
    <phoneticPr fontId="1"/>
  </si>
  <si>
    <t>女中としての内偵</t>
    <phoneticPr fontId="1"/>
  </si>
  <si>
    <t>[新生]【播州】お菊</t>
    <phoneticPr fontId="1"/>
  </si>
  <si>
    <t>美と高雅の京言葉</t>
    <phoneticPr fontId="1"/>
  </si>
  <si>
    <t>[新生]京美人</t>
    <phoneticPr fontId="1"/>
  </si>
  <si>
    <t>鬼退治準備中！</t>
    <phoneticPr fontId="1"/>
  </si>
  <si>
    <t>[新生]【幼少】桃太郎</t>
    <phoneticPr fontId="1"/>
  </si>
  <si>
    <t>タイプ姫・伝承の防20％UP</t>
    <phoneticPr fontId="1"/>
  </si>
  <si>
    <t>吸血鬼秋山のエリート教育</t>
    <phoneticPr fontId="1"/>
  </si>
  <si>
    <t>[新生]【ヴァンパイア】秋山真之</t>
    <phoneticPr fontId="1"/>
  </si>
  <si>
    <t>タイプ偉人・名物の攻20％UP</t>
    <phoneticPr fontId="1"/>
  </si>
  <si>
    <t>腹筋に滑る鬼雫</t>
    <phoneticPr fontId="1"/>
  </si>
  <si>
    <t>[新生]【筋トレ】不知火</t>
    <phoneticPr fontId="1"/>
  </si>
  <si>
    <t>氷菓の女王</t>
    <phoneticPr fontId="1"/>
  </si>
  <si>
    <t>[新生]白くまアイスちゃん</t>
    <phoneticPr fontId="1"/>
  </si>
  <si>
    <t>腹の音を一句に拵ふ</t>
    <phoneticPr fontId="1"/>
  </si>
  <si>
    <t>[新生]【歌より団子】小野小町</t>
    <phoneticPr fontId="1"/>
  </si>
  <si>
    <t>闇夜に溶ける人生の選択</t>
    <phoneticPr fontId="1"/>
  </si>
  <si>
    <t>[新生]【隠遁】南部鶴姫</t>
    <phoneticPr fontId="1"/>
  </si>
  <si>
    <t>鬼よ勝利を我が手に</t>
    <phoneticPr fontId="1"/>
  </si>
  <si>
    <t>[新生]【鬼伝承】鬼鎮神社</t>
    <phoneticPr fontId="1"/>
  </si>
  <si>
    <t>梅と猫の温かな香り</t>
    <phoneticPr fontId="1"/>
  </si>
  <si>
    <t>神秘</t>
    <phoneticPr fontId="1"/>
  </si>
  <si>
    <t>[新生]【梅花魁】阿豆佐味天神の狛猫</t>
    <phoneticPr fontId="1"/>
  </si>
  <si>
    <t>民衆とだんじりの上に立つ男</t>
    <phoneticPr fontId="1"/>
  </si>
  <si>
    <t>[新生]【男祭り】羽柴秀吉</t>
    <phoneticPr fontId="1"/>
  </si>
  <si>
    <t>オフィスを彩った才女</t>
    <phoneticPr fontId="1"/>
  </si>
  <si>
    <t>[新生]【OL】赤染衛門</t>
    <phoneticPr fontId="1"/>
  </si>
  <si>
    <t>もてなしと悪戯の黒狗</t>
    <phoneticPr fontId="1"/>
  </si>
  <si>
    <t>[新生]黒天狗</t>
    <phoneticPr fontId="1"/>
  </si>
  <si>
    <t>勝利へ導く一陣の風</t>
    <phoneticPr fontId="1"/>
  </si>
  <si>
    <t>[新生]【運動会】京扇子ちゃん</t>
    <phoneticPr fontId="1"/>
  </si>
  <si>
    <t>強火で炒める輝く焼き飯</t>
    <phoneticPr fontId="1"/>
  </si>
  <si>
    <t>[新生]【お料理】エヒメノミコト</t>
    <phoneticPr fontId="1"/>
  </si>
  <si>
    <t>発汗と行水の姫君</t>
    <phoneticPr fontId="1"/>
  </si>
  <si>
    <t>[新生]【ジム】妙玖</t>
    <phoneticPr fontId="1"/>
  </si>
  <si>
    <t>博多にわかと裏羽織</t>
    <phoneticPr fontId="1"/>
  </si>
  <si>
    <t>[新生]博多どんたく</t>
    <phoneticPr fontId="1"/>
  </si>
  <si>
    <t>溢れだす女王の気高さ</t>
    <phoneticPr fontId="1"/>
  </si>
  <si>
    <t>[新生]【ビアホール】百十踏揚</t>
    <phoneticPr fontId="1"/>
  </si>
  <si>
    <t>超豪華団子</t>
    <phoneticPr fontId="1"/>
  </si>
  <si>
    <t>特殊素材</t>
    <phoneticPr fontId="1"/>
  </si>
  <si>
    <t>【絶大】SR進化の秘竜</t>
    <phoneticPr fontId="1"/>
  </si>
  <si>
    <t>進化素材</t>
    <phoneticPr fontId="1"/>
  </si>
  <si>
    <t>秘湯とお酒で大開放♪</t>
    <phoneticPr fontId="1"/>
  </si>
  <si>
    <t>【湯けむり】五龍局</t>
    <phoneticPr fontId="1"/>
  </si>
  <si>
    <t>逆転の一手</t>
    <phoneticPr fontId="1"/>
  </si>
  <si>
    <t>チェス</t>
    <phoneticPr fontId="1"/>
  </si>
  <si>
    <t>廃墟に佇む女戦士</t>
    <phoneticPr fontId="1"/>
  </si>
  <si>
    <t>【アサシンスクール】常山御前</t>
    <phoneticPr fontId="1"/>
  </si>
  <si>
    <t>神々に捧ぐ愛と青春</t>
    <phoneticPr fontId="1"/>
  </si>
  <si>
    <t>果実酒のヘーベー</t>
    <phoneticPr fontId="1"/>
  </si>
  <si>
    <t>定められし運命の糸</t>
    <phoneticPr fontId="1"/>
  </si>
  <si>
    <t>ヴェルザンディ</t>
    <phoneticPr fontId="1"/>
  </si>
  <si>
    <t>目覚めの特効薬TKG</t>
    <phoneticPr fontId="1"/>
  </si>
  <si>
    <t>【Yシャツ】TKGちゃん</t>
    <phoneticPr fontId="1"/>
  </si>
  <si>
    <t>俊速の手捌き</t>
    <phoneticPr fontId="1"/>
  </si>
  <si>
    <t>屋台荒らしのベゼ</t>
    <phoneticPr fontId="1"/>
  </si>
  <si>
    <t>最古の人魚伝説</t>
    <phoneticPr fontId="1"/>
  </si>
  <si>
    <t>人魚塚</t>
    <phoneticPr fontId="1"/>
  </si>
  <si>
    <t>【中華飯店】ラムネちゃん</t>
    <phoneticPr fontId="1"/>
  </si>
  <si>
    <t>【招き猫】アプトルヤムペウェンユク</t>
    <phoneticPr fontId="1"/>
  </si>
  <si>
    <t>【フレッシュミルク】欲深女房</t>
    <phoneticPr fontId="1"/>
  </si>
  <si>
    <t>【月見酒】中野竹子</t>
    <phoneticPr fontId="1"/>
  </si>
  <si>
    <t>聖地に集うロリータ少女</t>
    <phoneticPr fontId="1"/>
  </si>
  <si>
    <t>原宿ロリータちゃん</t>
    <phoneticPr fontId="1"/>
  </si>
  <si>
    <t>甘くほろ苦い告白</t>
    <phoneticPr fontId="1"/>
  </si>
  <si>
    <t>【愛をこめて】バレンタインちゃんず</t>
    <phoneticPr fontId="1"/>
  </si>
  <si>
    <t>全国</t>
    <phoneticPr fontId="1"/>
  </si>
  <si>
    <t>富もたらす家の怪異</t>
    <phoneticPr fontId="1"/>
  </si>
  <si>
    <t>マヨイガ</t>
    <phoneticPr fontId="1"/>
  </si>
  <si>
    <t>艶めく濃厚な恋の味</t>
    <phoneticPr fontId="1"/>
  </si>
  <si>
    <t>【おかし】小野小町</t>
    <phoneticPr fontId="1"/>
  </si>
  <si>
    <t>桜桃の秘剣</t>
    <phoneticPr fontId="1"/>
  </si>
  <si>
    <t>桃の剣姫</t>
    <phoneticPr fontId="1"/>
  </si>
  <si>
    <t>やみつきの手触り</t>
    <phoneticPr fontId="1"/>
  </si>
  <si>
    <t>ベルベット</t>
    <phoneticPr fontId="1"/>
  </si>
  <si>
    <t>策戦 兵站奇襲</t>
    <phoneticPr fontId="1"/>
  </si>
  <si>
    <t>はらじゅくろりいたちゃん</t>
    <phoneticPr fontId="1"/>
  </si>
  <si>
    <t>策戦 旺氣発破</t>
    <phoneticPr fontId="1"/>
  </si>
  <si>
    <t>あいをこめてばれんたいんちゃんず</t>
    <phoneticPr fontId="1"/>
  </si>
  <si>
    <t>軍計 死路穽陥</t>
    <phoneticPr fontId="1"/>
  </si>
  <si>
    <t>まよいが</t>
    <phoneticPr fontId="1"/>
  </si>
  <si>
    <t>おかしおののこまち</t>
    <phoneticPr fontId="1"/>
  </si>
  <si>
    <t>七小町</t>
    <phoneticPr fontId="1"/>
  </si>
  <si>
    <t>東日本→全国</t>
    <rPh sb="4" eb="6">
      <t>ゼンコク</t>
    </rPh>
    <phoneticPr fontId="1"/>
  </si>
  <si>
    <t>神威請願</t>
    <phoneticPr fontId="1"/>
  </si>
  <si>
    <t>もものけんき</t>
    <phoneticPr fontId="1"/>
  </si>
  <si>
    <t>天鵞絨壁</t>
    <phoneticPr fontId="1"/>
  </si>
  <si>
    <t>べるべっと</t>
    <phoneticPr fontId="1"/>
  </si>
  <si>
    <t>ちょうごうかだんご</t>
    <phoneticPr fontId="1"/>
  </si>
  <si>
    <t>ぜつだいえすれあしんかのひりゅう</t>
    <phoneticPr fontId="1"/>
  </si>
  <si>
    <t>ゆけむりごりゅうのつぼね</t>
    <phoneticPr fontId="1"/>
  </si>
  <si>
    <t>ちぇす</t>
    <phoneticPr fontId="1"/>
  </si>
  <si>
    <t>あさしんすくーるつねやまごぜん</t>
    <phoneticPr fontId="1"/>
  </si>
  <si>
    <t>かじつしゅのへーべー</t>
    <phoneticPr fontId="1"/>
  </si>
  <si>
    <t>べるざんでぃ</t>
    <phoneticPr fontId="1"/>
  </si>
  <si>
    <t>わいしゃつたまごかけごはんちゃん</t>
    <phoneticPr fontId="1"/>
  </si>
  <si>
    <t>やたいあらしのべぜ</t>
    <phoneticPr fontId="1"/>
  </si>
  <si>
    <t>にんぎょづか</t>
    <phoneticPr fontId="1"/>
  </si>
  <si>
    <t>しんせいうたよりだんごおののこまち</t>
    <phoneticPr fontId="1"/>
  </si>
  <si>
    <t>しんせいいんとんなんぶつるひめ</t>
    <phoneticPr fontId="1"/>
  </si>
  <si>
    <t>しんせいおにでんしょうきじんじんじゃ</t>
    <phoneticPr fontId="1"/>
  </si>
  <si>
    <t>しんせいうめおいらんあずさみてんじんのこまねこ</t>
    <phoneticPr fontId="1"/>
  </si>
  <si>
    <t>しんせいおとこまつりはしばひでよし</t>
    <phoneticPr fontId="1"/>
  </si>
  <si>
    <t>しんせいおふぃすれでぃあかぞめえもん</t>
    <phoneticPr fontId="1"/>
  </si>
  <si>
    <t>しんせいくろてんぐ</t>
    <phoneticPr fontId="1"/>
  </si>
  <si>
    <t>しんせいうんどうかいきょうせんすちゃん</t>
    <phoneticPr fontId="1"/>
  </si>
  <si>
    <t>しんせいおりょうりえひめのみこと</t>
    <phoneticPr fontId="1"/>
  </si>
  <si>
    <t>しんせいじむみょうきゅう</t>
    <phoneticPr fontId="1"/>
  </si>
  <si>
    <t>しんせいはかたどんたく</t>
    <phoneticPr fontId="1"/>
  </si>
  <si>
    <t>しんせいびあほーるももとふみあがり</t>
    <phoneticPr fontId="1"/>
  </si>
  <si>
    <t>しんせいににんさんきゃくさくらんぼちゃん</t>
    <phoneticPr fontId="1"/>
  </si>
  <si>
    <t>しんせいあさかわのはなびちゃん</t>
    <phoneticPr fontId="1"/>
  </si>
  <si>
    <t>しんせいれすきゅーいいなおまさ</t>
    <phoneticPr fontId="1"/>
  </si>
  <si>
    <t>しんせいもくとんもちづきちよめ</t>
    <phoneticPr fontId="1"/>
  </si>
  <si>
    <t>しんせいちゅうごくちゃももちゃん</t>
    <phoneticPr fontId="1"/>
  </si>
  <si>
    <t>しんせいばんしゅうおきく</t>
    <phoneticPr fontId="1"/>
  </si>
  <si>
    <t>しんせいきょうびじん</t>
    <phoneticPr fontId="1"/>
  </si>
  <si>
    <t>しんせいようしょうももたろう</t>
    <phoneticPr fontId="1"/>
  </si>
  <si>
    <t>しんせいばんぱいああきやまさねゆき</t>
    <phoneticPr fontId="1"/>
  </si>
  <si>
    <t>しんせいきんとれしらぬい</t>
    <phoneticPr fontId="1"/>
  </si>
  <si>
    <t>しんせいしろくまあいすちゃん</t>
    <phoneticPr fontId="1"/>
  </si>
  <si>
    <t>しんせいおくのかた</t>
    <phoneticPr fontId="1"/>
  </si>
  <si>
    <t>図鑑無</t>
    <rPh sb="0" eb="2">
      <t>ズカン</t>
    </rPh>
    <rPh sb="2" eb="3">
      <t>ナシ</t>
    </rPh>
    <phoneticPr fontId="1"/>
  </si>
  <si>
    <t>しんせいかまいたち</t>
    <phoneticPr fontId="1"/>
  </si>
  <si>
    <t>しんせいじゃくれんほうし</t>
    <phoneticPr fontId="1"/>
  </si>
  <si>
    <t>しんせいせいおうがくえんくまのふでちゃん</t>
    <phoneticPr fontId="1"/>
  </si>
  <si>
    <t>しんせいおつきみだんごちゃん</t>
    <phoneticPr fontId="1"/>
  </si>
  <si>
    <t>しんせいおとこまつりたきがわいちます</t>
    <phoneticPr fontId="1"/>
  </si>
  <si>
    <t>しんせいぱいんくれーぷ</t>
    <phoneticPr fontId="1"/>
  </si>
  <si>
    <t>しんせいかれいなるきし</t>
    <phoneticPr fontId="1"/>
  </si>
  <si>
    <t>しんせいあさぎ</t>
    <phoneticPr fontId="1"/>
  </si>
  <si>
    <t>しんせいわかさぎ</t>
    <phoneticPr fontId="1"/>
  </si>
  <si>
    <t>しんせいおとしあな</t>
    <phoneticPr fontId="1"/>
  </si>
  <si>
    <t>しんせいさるぼぼ</t>
    <phoneticPr fontId="1"/>
  </si>
  <si>
    <t>しんせいめろす</t>
    <phoneticPr fontId="1"/>
  </si>
  <si>
    <t>図鑑1進非MAX迄</t>
    <rPh sb="0" eb="2">
      <t>ズカン</t>
    </rPh>
    <rPh sb="3" eb="4">
      <t>シン</t>
    </rPh>
    <rPh sb="4" eb="5">
      <t>ヒ</t>
    </rPh>
    <rPh sb="8" eb="9">
      <t>マデ</t>
    </rPh>
    <phoneticPr fontId="1"/>
  </si>
  <si>
    <t>図鑑済</t>
    <rPh sb="0" eb="2">
      <t>ズカン</t>
    </rPh>
    <rPh sb="2" eb="3">
      <t>スミ</t>
    </rPh>
    <phoneticPr fontId="1"/>
  </si>
  <si>
    <t>図鑑1進MAX迄</t>
    <rPh sb="0" eb="2">
      <t>ズカン</t>
    </rPh>
    <rPh sb="3" eb="4">
      <t>シン</t>
    </rPh>
    <rPh sb="7" eb="8">
      <t>マデ</t>
    </rPh>
    <phoneticPr fontId="1"/>
  </si>
  <si>
    <t>図鑑2進MAX迄</t>
    <rPh sb="0" eb="2">
      <t>ズカン</t>
    </rPh>
    <rPh sb="3" eb="4">
      <t>シン</t>
    </rPh>
    <rPh sb="7" eb="8">
      <t>マデ</t>
    </rPh>
    <phoneticPr fontId="1"/>
  </si>
  <si>
    <t>図鑑2進MAX迄(無印図鑑済)</t>
    <rPh sb="0" eb="2">
      <t>ズカン</t>
    </rPh>
    <rPh sb="3" eb="4">
      <t>シン</t>
    </rPh>
    <rPh sb="7" eb="8">
      <t>マデ</t>
    </rPh>
    <rPh sb="9" eb="11">
      <t>ムジルシ</t>
    </rPh>
    <rPh sb="11" eb="13">
      <t>ズカン</t>
    </rPh>
    <rPh sb="13" eb="14">
      <t>スミ</t>
    </rPh>
    <phoneticPr fontId="1"/>
  </si>
  <si>
    <t>図鑑1進MAX迄(無印図鑑済)</t>
    <rPh sb="0" eb="2">
      <t>ズカン</t>
    </rPh>
    <rPh sb="3" eb="4">
      <t>シン</t>
    </rPh>
    <rPh sb="7" eb="8">
      <t>マデ</t>
    </rPh>
    <rPh sb="9" eb="11">
      <t>ムジルシ</t>
    </rPh>
    <rPh sb="11" eb="13">
      <t>ズカン</t>
    </rPh>
    <rPh sb="13" eb="14">
      <t>スミ</t>
    </rPh>
    <phoneticPr fontId="1"/>
  </si>
  <si>
    <t>図鑑無(無印図鑑済)</t>
    <rPh sb="0" eb="2">
      <t>ズカン</t>
    </rPh>
    <rPh sb="2" eb="3">
      <t>ナシ</t>
    </rPh>
    <phoneticPr fontId="1"/>
  </si>
  <si>
    <t>17+竜+竜+15+(16+竜+11+12+(15+竜+11+11+12)),11,11,11,11</t>
    <phoneticPr fontId="1"/>
  </si>
  <si>
    <t>&lt;10&gt;図鑑1進MAX迄</t>
    <phoneticPr fontId="1"/>
  </si>
  <si>
    <t>15+12+12+12+14,10,11,11,11</t>
    <phoneticPr fontId="1"/>
  </si>
  <si>
    <t>22+竜+竜+竜+(17+竜+12+12+(16+竜+竜+12+13),11,11,11,11+10+11),14,16,16,竜</t>
    <phoneticPr fontId="1"/>
  </si>
  <si>
    <t>タイプ偉人・妖怪・名物の防15％UP　/　タイプ伝承・武人・姫の攻5％DOWN</t>
  </si>
  <si>
    <t>タイプ偉人・妖怪・名物の攻15％UP　/　タイプ神秘・飲食の防10％DOWN</t>
  </si>
  <si>
    <t>タイプ偉人・名物の攻25％UP　/　タイプ【妖怪】の攻10％UP</t>
  </si>
  <si>
    <t>タイプ姫・伝承の攻40％UP　/　タイプ【武人】の攻30％UP</t>
  </si>
  <si>
    <t>タイプ姫・伝承の攻15％UP　/　タイプ【武人】の攻30％UP</t>
  </si>
  <si>
    <t>タイプ偉人・妖怪・名物の防10％UP　/　タイプ名物・武人・姫・伝承の攻20％DOWN</t>
  </si>
  <si>
    <t>タイプ神秘・知性派の攻15％UP　/　タイプ【飲食】の攻30％UP</t>
  </si>
  <si>
    <t>タイプ飲食・武人の攻40％DOWN　/　タイプ偉人・名物の防20％UP</t>
  </si>
  <si>
    <t>タイプ伝承・武人・姫の防15％UP　/　タイプ神秘・知性派・飲食の攻10％DOWN</t>
  </si>
  <si>
    <t>タイプ姫・伝承の攻12％UP　/　タイプ【武人】の攻5％UP</t>
  </si>
  <si>
    <t>タイプ【武人】の防45％UP　/　タイプ【姫】の防15％UP</t>
  </si>
  <si>
    <t>タイプ神秘・飲食の防10％UP　/　タイプ【知性派】の防5％UP</t>
  </si>
  <si>
    <t>タイプ姫・伝承の防25％UP　/　タイプ【武人】の防10％UP</t>
  </si>
  <si>
    <t>タイプ神秘・知性派の防15％UP　/　タイプ【飲食】の防10％UP</t>
  </si>
  <si>
    <t>タイプ【飲食】の攻45％UP　/　タイプ【神秘】の攻15％UP</t>
  </si>
  <si>
    <t>タイプ神秘・知性派の攻10％UP　/　タイプ【飲食】の攻5％UP</t>
  </si>
  <si>
    <t>タイプ【偉人】の攻45％UP　/　タイプ【名物】の攻15％UP</t>
  </si>
  <si>
    <t>タイプ武人・姫の攻12％UP　/　タイプ武人・姫の防20％DOWN</t>
  </si>
  <si>
    <t>タイプ妖怪・名物の攻30％UP　/　タイプ【偉人】の攻10％UP</t>
  </si>
  <si>
    <t>タイプ武人・伝承の防30％UP　/　タイプ【姫】の防10％UP</t>
  </si>
  <si>
    <t>タイプ武人・姫の攻30％UP　/　タイプ【伝承】の攻10％UP</t>
  </si>
  <si>
    <t>タイプ知性派・飲食の防30％UP　/　タイプ【神秘】の防10％UP</t>
  </si>
  <si>
    <t>タイプ姫・伝承の攻30％UP　/　タイプ【武人】の攻10％UP</t>
  </si>
  <si>
    <t>タイプ妖怪・名物の防30％UP　/　タイプ【偉人】の防10％UP</t>
  </si>
  <si>
    <t>タイプ偉人・名物の攻30％UP　/　タイプ【妖怪】の攻10％UP</t>
  </si>
  <si>
    <t>タイプ偉人・妖怪の防30％UP　/　タイプ【名物】の防10％UP</t>
  </si>
  <si>
    <t>タイプ知性派・飲食の攻30％UP　/　タイプ【神秘】の攻10％UP</t>
  </si>
  <si>
    <t>タイプ偉人・妖怪の攻30％UP　/　タイプ【名物】の攻10％UP</t>
  </si>
  <si>
    <t>&lt;16,15&gt;図鑑1進MAX迄</t>
    <phoneticPr fontId="1"/>
  </si>
  <si>
    <t>22+16+(20+20),15,16</t>
    <phoneticPr fontId="1"/>
  </si>
  <si>
    <t>&lt;23,22,20,20,15,15,15&gt;18+16+(17+17),14,14,16,16 17+15+(16+16),15</t>
    <phoneticPr fontId="1"/>
  </si>
  <si>
    <t>&lt;20,19,14&gt;図鑑1進MAX迄</t>
    <phoneticPr fontId="1"/>
  </si>
  <si>
    <t>&lt;20&gt;20+15+(17+17),15,15</t>
    <phoneticPr fontId="1"/>
  </si>
  <si>
    <t>2019/11天下統一戦</t>
    <rPh sb="7" eb="12">
      <t>テンカトウイツセン</t>
    </rPh>
    <phoneticPr fontId="1"/>
  </si>
  <si>
    <t>2019/09天下統一戦</t>
    <rPh sb="7" eb="12">
      <t>テンカトウイツセン</t>
    </rPh>
    <phoneticPr fontId="1"/>
  </si>
  <si>
    <t>2019/07天下統一戦</t>
    <rPh sb="7" eb="12">
      <t>テンカトウイツセン</t>
    </rPh>
    <phoneticPr fontId="1"/>
  </si>
  <si>
    <t>2018/09天下統一戦</t>
    <rPh sb="7" eb="12">
      <t>テンカトウイツセン</t>
    </rPh>
    <phoneticPr fontId="1"/>
  </si>
  <si>
    <t>25,</t>
    <phoneticPr fontId="1"/>
  </si>
  <si>
    <t>図鑑無(図鑑埋用隊士有)</t>
    <rPh sb="0" eb="2">
      <t>ズカン</t>
    </rPh>
    <rPh sb="2" eb="3">
      <t>ナシ</t>
    </rPh>
    <rPh sb="6" eb="7">
      <t>マイ</t>
    </rPh>
    <rPh sb="7" eb="8">
      <t>ヨウ</t>
    </rPh>
    <rPh sb="8" eb="10">
      <t>タイシ</t>
    </rPh>
    <rPh sb="10" eb="11">
      <t>アリ</t>
    </rPh>
    <phoneticPr fontId="1"/>
  </si>
  <si>
    <t>25,25</t>
    <phoneticPr fontId="1"/>
  </si>
  <si>
    <t>20,20</t>
    <phoneticPr fontId="1"/>
  </si>
  <si>
    <t>15,</t>
    <phoneticPr fontId="1"/>
  </si>
  <si>
    <t>15,15,15</t>
    <phoneticPr fontId="1"/>
  </si>
  <si>
    <t>36個交換</t>
    <rPh sb="2" eb="3">
      <t>コ</t>
    </rPh>
    <rPh sb="3" eb="5">
      <t>コウカン</t>
    </rPh>
    <phoneticPr fontId="1"/>
  </si>
  <si>
    <t>【新春2021】蜃気楼ちゃん</t>
    <phoneticPr fontId="1"/>
  </si>
  <si>
    <t>祝宴の鏡映</t>
    <phoneticPr fontId="1"/>
  </si>
  <si>
    <t>130％→140％(3進)</t>
    <rPh sb="11" eb="12">
      <t>シン</t>
    </rPh>
    <phoneticPr fontId="1"/>
  </si>
  <si>
    <t>しんしゅんにせんにじゅういちしんきろうちゃん</t>
    <phoneticPr fontId="1"/>
  </si>
  <si>
    <t>タイプ神秘・飲食の攻35％UP　/　タイプ【知性派】の攻20％UP</t>
    <phoneticPr fontId="1"/>
  </si>
  <si>
    <t>タイプ【飲食】の攻50％UP　/　タイプ神秘・知性派の攻25％UP</t>
    <phoneticPr fontId="1"/>
  </si>
  <si>
    <t>【電車ガール】サファイア</t>
    <phoneticPr fontId="1"/>
  </si>
  <si>
    <t>でんしゃがーるさふぁいあ</t>
    <phoneticPr fontId="1"/>
  </si>
  <si>
    <t>ホームを彩る蒼玉駅員</t>
    <phoneticPr fontId="1"/>
  </si>
  <si>
    <t>タイプ神秘・知性派・飲食の防20％UP　/　タイプ知性派・飲食の攻10％DOWN</t>
    <phoneticPr fontId="1"/>
  </si>
  <si>
    <t>【湯けむり】神田明神</t>
    <phoneticPr fontId="1"/>
  </si>
  <si>
    <t>ゆけむりかんだみょうじん</t>
  </si>
  <si>
    <t>神秘</t>
  </si>
  <si>
    <t>温泉満喫明神</t>
  </si>
  <si>
    <t>タイプ神秘・知性派・飲食の防25％DOWN　/　タイプ知性派・飲食の攻10％UP</t>
    <phoneticPr fontId="1"/>
  </si>
  <si>
    <t>【ビキニガール】天英院</t>
    <phoneticPr fontId="1"/>
  </si>
  <si>
    <t>びきにがーるてんえいいん</t>
    <phoneticPr fontId="1"/>
  </si>
  <si>
    <t>太陽浴びる大奥の主</t>
    <phoneticPr fontId="1"/>
  </si>
  <si>
    <t>タイプ偉人・妖怪・名物の防25％UP</t>
    <phoneticPr fontId="1"/>
  </si>
  <si>
    <t>SSR引換券(召喚アビリティ・所属一致ボーナスUP系隊士)</t>
    <rPh sb="7" eb="9">
      <t>ショウカン</t>
    </rPh>
    <rPh sb="25" eb="26">
      <t>ケイ</t>
    </rPh>
    <rPh sb="26" eb="28">
      <t>タイシ</t>
    </rPh>
    <phoneticPr fontId="1"/>
  </si>
  <si>
    <t>【温泉街】浜姫</t>
    <phoneticPr fontId="1"/>
  </si>
  <si>
    <t>おんせんがいはまひめ</t>
    <phoneticPr fontId="1"/>
  </si>
  <si>
    <t>妖美な湯けむり美人</t>
    <phoneticPr fontId="1"/>
  </si>
  <si>
    <t>タイプ偉人・妖怪・名物の攻20％UP</t>
    <phoneticPr fontId="1"/>
  </si>
  <si>
    <t>25,25,23</t>
    <phoneticPr fontId="1"/>
  </si>
  <si>
    <t>【ひなまつり】板額御前</t>
    <phoneticPr fontId="1"/>
  </si>
  <si>
    <t>ひなまつりはんがくごぜん</t>
    <phoneticPr fontId="1"/>
  </si>
  <si>
    <t>色香漂うひなまつり</t>
    <phoneticPr fontId="1"/>
  </si>
  <si>
    <t>タイプ姫・伝承の防12％UP　/　タイプ【武人】の防5％UP</t>
    <phoneticPr fontId="1"/>
  </si>
  <si>
    <t>【南国バカンス】アメリカ村ちゃん</t>
    <phoneticPr fontId="1"/>
  </si>
  <si>
    <t>なんごくばかんすあめりかむらちゃん</t>
    <phoneticPr fontId="1"/>
  </si>
  <si>
    <t>ルーツを辿る旅</t>
    <phoneticPr fontId="1"/>
  </si>
  <si>
    <t>タイプ偉人・妖怪・名物の攻20％UP　/　タイプ飲食・武人の防10％DOWN</t>
    <phoneticPr fontId="1"/>
  </si>
  <si>
    <t>【電車ガール】ズワイガニちゃん</t>
    <phoneticPr fontId="1"/>
  </si>
  <si>
    <t>飲食</t>
  </si>
  <si>
    <t>楚蟹の指差喚呼</t>
    <phoneticPr fontId="1"/>
  </si>
  <si>
    <t>でんしゃがーるずわいがにちゃん</t>
    <phoneticPr fontId="1"/>
  </si>
  <si>
    <t>タイプ神秘・知性派・飲食の防20％UP</t>
    <phoneticPr fontId="1"/>
  </si>
  <si>
    <t>【お正月】小泉八雲</t>
    <phoneticPr fontId="1"/>
  </si>
  <si>
    <t>おしょうがつこいずみやくも</t>
    <phoneticPr fontId="1"/>
  </si>
  <si>
    <t>知性派</t>
    <rPh sb="0" eb="2">
      <t>チセイ</t>
    </rPh>
    <rPh sb="2" eb="3">
      <t>ハ</t>
    </rPh>
    <phoneticPr fontId="1"/>
  </si>
  <si>
    <t>八雲立つ魂込めた年賀状</t>
    <rPh sb="0" eb="2">
      <t>ヤクモ</t>
    </rPh>
    <rPh sb="2" eb="3">
      <t>タ</t>
    </rPh>
    <rPh sb="4" eb="5">
      <t>タマシイ</t>
    </rPh>
    <rPh sb="5" eb="6">
      <t>コ</t>
    </rPh>
    <rPh sb="8" eb="11">
      <t>ネンガジョウ</t>
    </rPh>
    <phoneticPr fontId="1"/>
  </si>
  <si>
    <t>タイプ神秘・知性派・飲食の攻25％UP</t>
    <phoneticPr fontId="1"/>
  </si>
  <si>
    <t>【ちょこの日】珊瑚色</t>
    <phoneticPr fontId="1"/>
  </si>
  <si>
    <t>ちょこのひさんごいろ</t>
    <phoneticPr fontId="1"/>
  </si>
  <si>
    <t>タイプ伝承・武人・姫の防15％UP　/　タイプ飲食・武人・名物の攻10％DOWN</t>
    <phoneticPr fontId="1"/>
  </si>
  <si>
    <t>恋に染まる天使肌</t>
    <phoneticPr fontId="1"/>
  </si>
  <si>
    <t>【応援団】ルイス・フロイス</t>
    <phoneticPr fontId="1"/>
  </si>
  <si>
    <t>おうえんだんるいすふろいす</t>
    <phoneticPr fontId="1"/>
  </si>
  <si>
    <t>タイプ妖怪・名物の攻12％UP　/　タイプ【偉人】の攻5％UP</t>
    <phoneticPr fontId="1"/>
  </si>
  <si>
    <t>熱心な応援活動行う宣教師</t>
    <phoneticPr fontId="1"/>
  </si>
  <si>
    <t>【本命チョコ】チョコレートケーキ</t>
    <phoneticPr fontId="1"/>
  </si>
  <si>
    <t>ほんめいちょこちょこれーとけーき</t>
  </si>
  <si>
    <t>その想いが本命チョコ</t>
  </si>
  <si>
    <t>タイプ神秘・知性派の防25％UP　/　タイプ【飲食】の防10％UP</t>
    <phoneticPr fontId="1"/>
  </si>
  <si>
    <t>引換券交換隊士</t>
    <rPh sb="0" eb="3">
      <t>ヒキカエケン</t>
    </rPh>
    <phoneticPr fontId="1"/>
  </si>
  <si>
    <t>有利SR引換券</t>
    <rPh sb="0" eb="2">
      <t>ユウリ</t>
    </rPh>
    <rPh sb="4" eb="7">
      <t>ヒキカエケン</t>
    </rPh>
    <phoneticPr fontId="1"/>
  </si>
  <si>
    <t>25+23+25</t>
    <phoneticPr fontId="1"/>
  </si>
  <si>
    <t>19+10+12</t>
    <phoneticPr fontId="1"/>
  </si>
  <si>
    <t>19(2022新春福引ガチャ),12,10(LMG)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</si>
</sst>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1"/>
      <color theme="0"/>
      <name val="Yu Gothic"/>
      <family val="2"/>
      <scheme val="minor"/>
    </font>
    <font>
      <b/>
      <sz val="11"/>
      <color theme="0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CBC3-A536-4BCC-9958-0E55B809F8C3}">
  <dimension ref="A1:O19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1" customWidth="1"/>
    <col min="2" max="2" width="3.9140625" style="1" customWidth="1"/>
    <col min="3" max="3" width="12.33203125" style="1" customWidth="1"/>
    <col min="4" max="4" width="5.4140625" style="1" customWidth="1"/>
    <col min="5" max="5" width="30.9140625" style="1" customWidth="1"/>
    <col min="6" max="6" width="3.75" style="1" customWidth="1"/>
    <col min="7" max="7" width="30.9140625" style="1" hidden="1" customWidth="1"/>
    <col min="8" max="8" width="12.9140625" style="1" hidden="1" customWidth="1"/>
    <col min="9" max="9" width="17.33203125" style="1" hidden="1" customWidth="1"/>
    <col min="10" max="10" width="3.9140625" style="1" customWidth="1"/>
    <col min="11" max="12" width="7.08203125" style="1" customWidth="1"/>
    <col min="13" max="13" width="31" style="1" hidden="1" customWidth="1"/>
    <col min="14" max="14" width="70.9140625" style="1" customWidth="1"/>
    <col min="15" max="15" width="25.9140625" style="1" customWidth="1"/>
    <col min="16" max="16384" width="8.9140625" style="1"/>
  </cols>
  <sheetData>
    <row r="1" spans="1:15">
      <c r="A1" s="3" t="s">
        <v>126</v>
      </c>
      <c r="B1" s="3" t="s">
        <v>21</v>
      </c>
      <c r="C1" s="3" t="s">
        <v>13</v>
      </c>
      <c r="D1" s="4" t="s">
        <v>14</v>
      </c>
      <c r="E1" s="4" t="s">
        <v>15</v>
      </c>
      <c r="F1" s="4" t="s">
        <v>209</v>
      </c>
      <c r="G1" s="4" t="s">
        <v>153</v>
      </c>
      <c r="H1" s="4" t="s">
        <v>156</v>
      </c>
      <c r="I1" s="4" t="s">
        <v>16</v>
      </c>
      <c r="J1" s="4" t="s">
        <v>17</v>
      </c>
      <c r="K1" s="4" t="s">
        <v>155</v>
      </c>
      <c r="L1" s="4" t="s">
        <v>154</v>
      </c>
      <c r="M1" s="4" t="s">
        <v>18</v>
      </c>
      <c r="N1" s="4" t="s">
        <v>248</v>
      </c>
      <c r="O1" s="4" t="s">
        <v>250</v>
      </c>
    </row>
    <row r="2" spans="1:15">
      <c r="E2" s="2"/>
      <c r="F2" s="2"/>
    </row>
    <row r="3" spans="1:15">
      <c r="A3" s="1">
        <v>72603</v>
      </c>
      <c r="B3" s="1" t="s">
        <v>23</v>
      </c>
      <c r="C3" s="1" t="s">
        <v>22</v>
      </c>
      <c r="D3" s="1" t="s">
        <v>3</v>
      </c>
      <c r="E3" s="5" t="s">
        <v>210</v>
      </c>
      <c r="F3" s="2" t="str">
        <f>HYPERLINK("https://stat100.ameba.jp/tnk47/ratio20/illustrations/card/ill_72603_onnajoshuiinaotora03.jpg", "■")</f>
        <v>■</v>
      </c>
      <c r="G3" s="1" t="s">
        <v>97</v>
      </c>
      <c r="H3" s="1" t="s">
        <v>94</v>
      </c>
      <c r="I3" s="1" t="s">
        <v>95</v>
      </c>
      <c r="J3" s="1">
        <v>9</v>
      </c>
      <c r="K3" s="1">
        <v>32673</v>
      </c>
      <c r="L3" s="1">
        <v>35155</v>
      </c>
      <c r="M3" s="1" t="s">
        <v>65</v>
      </c>
      <c r="N3" s="1" t="s">
        <v>260</v>
      </c>
    </row>
    <row r="4" spans="1:15">
      <c r="A4" s="1">
        <v>72613</v>
      </c>
      <c r="B4" s="1" t="s">
        <v>10</v>
      </c>
      <c r="C4" s="1" t="s">
        <v>8</v>
      </c>
      <c r="D4" s="1" t="s">
        <v>3</v>
      </c>
      <c r="E4" s="5" t="s">
        <v>211</v>
      </c>
      <c r="F4" s="2" t="str">
        <f>HYPERLINK("https://stat100.ameba.jp/tnk47/ratio20/illustrations/card/ill_72613_onnajoshumimuratsuru03.jpg", "■")</f>
        <v>■</v>
      </c>
      <c r="G4" s="1" t="s">
        <v>98</v>
      </c>
      <c r="H4" s="1" t="s">
        <v>96</v>
      </c>
      <c r="I4" s="1" t="s">
        <v>255</v>
      </c>
      <c r="J4" s="1">
        <v>7</v>
      </c>
      <c r="K4" s="1">
        <v>20748</v>
      </c>
      <c r="L4" s="1">
        <v>18818</v>
      </c>
      <c r="M4" s="1" t="s">
        <v>66</v>
      </c>
      <c r="N4" s="1" t="s">
        <v>261</v>
      </c>
    </row>
    <row r="5" spans="1:15">
      <c r="A5" s="1">
        <v>72633</v>
      </c>
      <c r="B5" s="1" t="s">
        <v>0</v>
      </c>
      <c r="C5" s="1" t="s">
        <v>4</v>
      </c>
      <c r="D5" s="1" t="s">
        <v>3</v>
      </c>
      <c r="E5" s="5" t="s">
        <v>212</v>
      </c>
      <c r="F5" s="2" t="str">
        <f>HYPERLINK("https://stat100.ameba.jp/tnk47/ratio20/illustrations/card/ill_72633_oshijokaihime03.jpg", "■")</f>
        <v>■</v>
      </c>
      <c r="G5" s="1" t="s">
        <v>99</v>
      </c>
      <c r="H5" s="1" t="s">
        <v>12</v>
      </c>
      <c r="I5" s="1" t="s">
        <v>61</v>
      </c>
      <c r="J5" s="1">
        <v>9</v>
      </c>
      <c r="K5" s="1">
        <v>18712</v>
      </c>
      <c r="L5" s="1">
        <v>15559</v>
      </c>
      <c r="M5" s="1" t="s">
        <v>67</v>
      </c>
      <c r="N5" s="1" t="s">
        <v>68</v>
      </c>
    </row>
    <row r="6" spans="1:15">
      <c r="E6" s="2"/>
      <c r="F6" s="2"/>
    </row>
    <row r="7" spans="1:15">
      <c r="A7" s="1">
        <v>27373</v>
      </c>
      <c r="B7" s="1" t="s">
        <v>0</v>
      </c>
      <c r="C7" s="1" t="s">
        <v>1</v>
      </c>
      <c r="D7" s="1" t="s">
        <v>19</v>
      </c>
      <c r="E7" s="5" t="s">
        <v>213</v>
      </c>
      <c r="F7" s="2" t="str">
        <f>HYPERLINK("https://stat100.ameba.jp/tnk47/ratio20/illustrations/card/ill_27373_bakumatsujoketsuniijimayae03.jpg", "■")</f>
        <v>■</v>
      </c>
      <c r="G7" s="1" t="s">
        <v>60</v>
      </c>
      <c r="I7" t="s">
        <v>281</v>
      </c>
      <c r="J7" s="1">
        <v>9</v>
      </c>
      <c r="K7" s="1">
        <v>14079</v>
      </c>
      <c r="L7" s="1">
        <v>18270</v>
      </c>
      <c r="M7" s="1" t="s">
        <v>70</v>
      </c>
      <c r="N7" s="1" t="s">
        <v>71</v>
      </c>
    </row>
    <row r="8" spans="1:15">
      <c r="A8" s="1">
        <v>23533</v>
      </c>
      <c r="B8" s="1" t="s">
        <v>0</v>
      </c>
      <c r="C8" s="1" t="s">
        <v>1</v>
      </c>
      <c r="D8" s="1" t="s">
        <v>11</v>
      </c>
      <c r="E8" s="5" t="s">
        <v>214</v>
      </c>
      <c r="F8" s="2" t="str">
        <f>HYPERLINK("https://stat100.ameba.jp/tnk47/ratio20/illustrations/card/ill_23533_fuyunojinseishinni03.jpg", "■")</f>
        <v>■</v>
      </c>
      <c r="G8" s="1" t="s">
        <v>59</v>
      </c>
      <c r="I8" t="s">
        <v>281</v>
      </c>
      <c r="J8" s="1">
        <v>9</v>
      </c>
      <c r="K8" s="1">
        <v>17053</v>
      </c>
      <c r="L8" s="1">
        <v>15130</v>
      </c>
      <c r="M8" s="1" t="s">
        <v>72</v>
      </c>
      <c r="N8" s="1" t="s">
        <v>73</v>
      </c>
    </row>
    <row r="9" spans="1:15">
      <c r="A9" s="1">
        <v>21493</v>
      </c>
      <c r="B9" s="1" t="s">
        <v>0</v>
      </c>
      <c r="C9" s="1" t="s">
        <v>4</v>
      </c>
      <c r="D9" s="1" t="s">
        <v>20</v>
      </c>
      <c r="E9" s="5" t="s">
        <v>215</v>
      </c>
      <c r="F9" s="2" t="str">
        <f>HYPERLINK("https://stat100.ameba.jp/tnk47/ratio20/illustrations/card/ill_21493_fuyunojintokugawahidetada03.jpg", "■")</f>
        <v>■</v>
      </c>
      <c r="G9" s="1" t="s">
        <v>58</v>
      </c>
      <c r="I9" t="s">
        <v>281</v>
      </c>
      <c r="J9" s="1">
        <v>9</v>
      </c>
      <c r="K9" s="1">
        <v>15130</v>
      </c>
      <c r="L9" s="1">
        <v>17053</v>
      </c>
      <c r="M9" s="1" t="s">
        <v>74</v>
      </c>
      <c r="N9" s="1" t="s">
        <v>75</v>
      </c>
    </row>
    <row r="10" spans="1:15">
      <c r="A10" s="1">
        <v>21503</v>
      </c>
      <c r="B10" s="1" t="s">
        <v>0</v>
      </c>
      <c r="C10" s="1" t="s">
        <v>6</v>
      </c>
      <c r="D10" s="1" t="s">
        <v>11</v>
      </c>
      <c r="E10" s="5" t="s">
        <v>216</v>
      </c>
      <c r="F10" s="2" t="str">
        <f>HYPERLINK("https://stat100.ameba.jp/tnk47/ratio20/illustrations/card/ill_21503_fuyunojintensuin03.jpg", "■")</f>
        <v>■</v>
      </c>
      <c r="G10" s="1" t="s">
        <v>57</v>
      </c>
      <c r="H10" s="1" t="s">
        <v>69</v>
      </c>
      <c r="I10" t="s">
        <v>271</v>
      </c>
      <c r="J10" s="1">
        <v>9</v>
      </c>
      <c r="K10" s="1">
        <v>18270</v>
      </c>
      <c r="L10" s="1">
        <v>14079</v>
      </c>
      <c r="M10" s="1" t="s">
        <v>76</v>
      </c>
      <c r="N10" s="1" t="s">
        <v>77</v>
      </c>
    </row>
    <row r="11" spans="1:15">
      <c r="A11" s="1">
        <v>28773</v>
      </c>
      <c r="B11" s="1" t="s">
        <v>0</v>
      </c>
      <c r="C11" s="1" t="s">
        <v>7</v>
      </c>
      <c r="D11" s="1" t="s">
        <v>19</v>
      </c>
      <c r="E11" s="5" t="s">
        <v>217</v>
      </c>
      <c r="F11" s="2" t="str">
        <f>HYPERLINK("https://stat100.ameba.jp/tnk47/ratio20/illustrations/card/ill_28773_sanjosanetomi03.jpg", "■")</f>
        <v>■</v>
      </c>
      <c r="G11" s="1" t="s">
        <v>64</v>
      </c>
      <c r="I11" s="1" t="s">
        <v>272</v>
      </c>
      <c r="J11" s="1">
        <v>9</v>
      </c>
      <c r="K11" s="1">
        <v>18270</v>
      </c>
      <c r="L11" s="1">
        <v>18270</v>
      </c>
      <c r="M11" s="1" t="s">
        <v>78</v>
      </c>
      <c r="N11" s="1" t="s">
        <v>79</v>
      </c>
    </row>
    <row r="12" spans="1:15">
      <c r="A12" s="1">
        <v>21443</v>
      </c>
      <c r="B12" s="1" t="s">
        <v>0</v>
      </c>
      <c r="C12" s="1" t="s">
        <v>7</v>
      </c>
      <c r="D12" s="1" t="s">
        <v>11</v>
      </c>
      <c r="E12" s="5" t="s">
        <v>218</v>
      </c>
      <c r="F12" s="2" t="str">
        <f>HYPERLINK("https://stat100.ameba.jp/tnk47/ratio20/illustrations/card/ill_21443_fuyunojinsenhime03.jpg", "■")</f>
        <v>■</v>
      </c>
      <c r="G12" s="1" t="s">
        <v>125</v>
      </c>
      <c r="I12" s="1" t="s">
        <v>272</v>
      </c>
      <c r="J12" s="1">
        <v>9</v>
      </c>
      <c r="K12" s="1">
        <v>15130</v>
      </c>
      <c r="L12" s="1">
        <v>17053</v>
      </c>
      <c r="M12" s="1" t="s">
        <v>80</v>
      </c>
      <c r="N12" s="1" t="s">
        <v>81</v>
      </c>
    </row>
    <row r="13" spans="1:15">
      <c r="A13" s="1">
        <v>20623</v>
      </c>
      <c r="B13" s="1" t="s">
        <v>0</v>
      </c>
      <c r="C13" s="1" t="s">
        <v>8</v>
      </c>
      <c r="D13" s="1" t="s">
        <v>20</v>
      </c>
      <c r="E13" s="5" t="s">
        <v>219</v>
      </c>
      <c r="F13" s="2" t="str">
        <f>HYPERLINK("https://stat100.ameba.jp/tnk47/ratio20/illustrations/card/ill_20623_fuyunojinakashitakenori03.jpg", "■")</f>
        <v>■</v>
      </c>
      <c r="G13" s="1" t="s">
        <v>150</v>
      </c>
      <c r="I13" s="1" t="s">
        <v>272</v>
      </c>
      <c r="J13" s="1">
        <v>9</v>
      </c>
      <c r="K13" s="1">
        <v>17053</v>
      </c>
      <c r="L13" s="1">
        <v>15130</v>
      </c>
      <c r="M13" s="1" t="s">
        <v>82</v>
      </c>
      <c r="N13" s="1" t="s">
        <v>83</v>
      </c>
    </row>
    <row r="14" spans="1:15">
      <c r="A14" s="1">
        <v>21433</v>
      </c>
      <c r="B14" s="1" t="s">
        <v>0</v>
      </c>
      <c r="C14" s="1" t="s">
        <v>9</v>
      </c>
      <c r="D14" s="1" t="s">
        <v>11</v>
      </c>
      <c r="E14" s="5" t="s">
        <v>220</v>
      </c>
      <c r="F14" s="2" t="str">
        <f>HYPERLINK("https://stat100.ameba.jp/tnk47/ratio20/illustrations/card/ill_21433_fuyunojinokurakyonotsubone03.jpg", "■")</f>
        <v>■</v>
      </c>
      <c r="G14" s="1" t="s">
        <v>151</v>
      </c>
      <c r="I14" s="1" t="s">
        <v>272</v>
      </c>
      <c r="J14" s="1">
        <v>9</v>
      </c>
      <c r="K14" s="1">
        <v>14079</v>
      </c>
      <c r="L14" s="1">
        <v>18270</v>
      </c>
      <c r="M14" s="1" t="s">
        <v>84</v>
      </c>
      <c r="N14" s="1" t="s">
        <v>85</v>
      </c>
    </row>
    <row r="15" spans="1:15">
      <c r="E15" s="2"/>
      <c r="F15" s="2"/>
    </row>
    <row r="16" spans="1:15">
      <c r="A16" s="1">
        <v>21513</v>
      </c>
      <c r="B16" s="1" t="s">
        <v>26</v>
      </c>
      <c r="C16" s="1" t="s">
        <v>45</v>
      </c>
      <c r="D16" s="1" t="s">
        <v>11</v>
      </c>
      <c r="E16" s="5" t="s">
        <v>221</v>
      </c>
      <c r="F16" s="2" t="str">
        <f>HYPERLINK("https://stat100.ameba.jp/tnk47/ratio20/illustrations/card/ill_21513_fuyunojinosennokata03.jpg", "■")</f>
        <v>■</v>
      </c>
      <c r="G16" s="1" t="s">
        <v>203</v>
      </c>
      <c r="I16" s="1" t="s">
        <v>272</v>
      </c>
      <c r="J16" s="1">
        <v>9</v>
      </c>
      <c r="K16" s="1">
        <v>9514</v>
      </c>
      <c r="L16" s="1">
        <v>11329</v>
      </c>
      <c r="M16" s="1" t="s">
        <v>86</v>
      </c>
      <c r="N16" s="1" t="s">
        <v>87</v>
      </c>
    </row>
    <row r="17" spans="1:14">
      <c r="A17" s="1">
        <v>20593</v>
      </c>
      <c r="B17" s="1" t="s">
        <v>26</v>
      </c>
      <c r="C17" s="1" t="s">
        <v>48</v>
      </c>
      <c r="D17" s="1" t="s">
        <v>11</v>
      </c>
      <c r="E17" s="5" t="s">
        <v>222</v>
      </c>
      <c r="F17" s="2" t="str">
        <f>HYPERLINK("https://stat100.ameba.jp/tnk47/ratio20/illustrations/card/ill_20593_fuyunojinachanotsubone03.jpg", "■")</f>
        <v>■</v>
      </c>
      <c r="G17" s="1" t="s">
        <v>202</v>
      </c>
      <c r="I17" s="1" t="s">
        <v>272</v>
      </c>
      <c r="J17" s="1">
        <v>9</v>
      </c>
      <c r="K17" s="1">
        <v>9514</v>
      </c>
      <c r="L17" s="1">
        <v>11329</v>
      </c>
      <c r="M17" s="1" t="s">
        <v>88</v>
      </c>
      <c r="N17" s="1" t="s">
        <v>89</v>
      </c>
    </row>
    <row r="18" spans="1:14">
      <c r="A18" s="1">
        <v>7483</v>
      </c>
      <c r="B18" s="1" t="s">
        <v>26</v>
      </c>
      <c r="C18" s="1" t="s">
        <v>51</v>
      </c>
      <c r="D18" s="1" t="s">
        <v>20</v>
      </c>
      <c r="E18" s="5" t="s">
        <v>223</v>
      </c>
      <c r="F18" s="2" t="str">
        <f>HYPERLINK("https://stat100.ameba.jp/tnk47/ratio20/illustrations/card/ill_7483_fuyunojinhayakawanagamasa03.jpg", "■")</f>
        <v>■</v>
      </c>
      <c r="G18" s="1" t="s">
        <v>201</v>
      </c>
      <c r="I18" s="1" t="s">
        <v>272</v>
      </c>
      <c r="J18" s="1">
        <v>9</v>
      </c>
      <c r="K18" s="1">
        <v>9514</v>
      </c>
      <c r="L18" s="1">
        <v>11329</v>
      </c>
      <c r="M18" s="1" t="s">
        <v>90</v>
      </c>
      <c r="N18" s="1" t="s">
        <v>91</v>
      </c>
    </row>
    <row r="19" spans="1:14">
      <c r="A19" s="1">
        <v>21543</v>
      </c>
      <c r="B19" s="1" t="s">
        <v>26</v>
      </c>
      <c r="C19" s="1" t="s">
        <v>51</v>
      </c>
      <c r="D19" s="1" t="s">
        <v>20</v>
      </c>
      <c r="E19" s="5" t="s">
        <v>224</v>
      </c>
      <c r="F19" s="2" t="str">
        <f>HYPERLINK("https://stat100.ameba.jp/tnk47/ratio20/illustrations/card/ill_21543_fuyunojimmanoyorikane03.jpg", "■")</f>
        <v>■</v>
      </c>
      <c r="G19" s="1" t="s">
        <v>200</v>
      </c>
      <c r="I19" s="1" t="s">
        <v>272</v>
      </c>
      <c r="J19" s="1">
        <v>9</v>
      </c>
      <c r="K19" s="1">
        <v>11329</v>
      </c>
      <c r="L19" s="1">
        <v>9514</v>
      </c>
      <c r="M19" s="1" t="s">
        <v>92</v>
      </c>
      <c r="N19" s="1" t="s">
        <v>93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8D2A1-A944-47A9-8173-C342525FAFB3}">
  <dimension ref="A1:O95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7.5" style="1" customWidth="1"/>
    <col min="2" max="2" width="3.9140625" style="1" customWidth="1"/>
    <col min="3" max="3" width="12.33203125" style="1" customWidth="1"/>
    <col min="4" max="4" width="5.4140625" style="1" customWidth="1"/>
    <col min="5" max="5" width="30.9140625" style="1" customWidth="1"/>
    <col min="6" max="6" width="3.75" style="1" customWidth="1"/>
    <col min="7" max="7" width="30.9140625" style="1" hidden="1" customWidth="1"/>
    <col min="8" max="8" width="12.9140625" style="1" hidden="1" customWidth="1"/>
    <col min="9" max="9" width="17.33203125" style="1" hidden="1" customWidth="1"/>
    <col min="10" max="10" width="3.9140625" style="1" customWidth="1"/>
    <col min="11" max="12" width="7.08203125" style="1" customWidth="1"/>
    <col min="13" max="13" width="31" style="1" hidden="1" customWidth="1"/>
    <col min="14" max="14" width="70.9140625" style="1" customWidth="1"/>
    <col min="15" max="15" width="25.9140625" style="1" customWidth="1"/>
    <col min="16" max="16384" width="8.9140625" style="1"/>
  </cols>
  <sheetData>
    <row r="1" spans="1:15">
      <c r="A1" s="3" t="s">
        <v>126</v>
      </c>
      <c r="B1" s="3" t="s">
        <v>21</v>
      </c>
      <c r="C1" s="3" t="s">
        <v>13</v>
      </c>
      <c r="D1" s="4" t="s">
        <v>14</v>
      </c>
      <c r="E1" s="4" t="s">
        <v>15</v>
      </c>
      <c r="F1" s="4" t="s">
        <v>209</v>
      </c>
      <c r="G1" s="4" t="s">
        <v>153</v>
      </c>
      <c r="H1" s="4" t="s">
        <v>156</v>
      </c>
      <c r="I1" s="4" t="s">
        <v>16</v>
      </c>
      <c r="J1" s="4" t="s">
        <v>17</v>
      </c>
      <c r="K1" s="4" t="s">
        <v>155</v>
      </c>
      <c r="L1" s="4" t="s">
        <v>154</v>
      </c>
      <c r="M1" s="4" t="s">
        <v>18</v>
      </c>
      <c r="N1" s="4" t="s">
        <v>248</v>
      </c>
      <c r="O1" s="4" t="s">
        <v>250</v>
      </c>
    </row>
    <row r="2" spans="1:15">
      <c r="E2" s="2"/>
      <c r="F2" s="2"/>
    </row>
    <row r="3" spans="1:15">
      <c r="A3" s="1" t="s">
        <v>638</v>
      </c>
      <c r="E3" s="2"/>
      <c r="F3" s="2"/>
    </row>
    <row r="4" spans="1:15">
      <c r="A4" s="1" t="s">
        <v>639</v>
      </c>
    </row>
    <row r="5" spans="1:15">
      <c r="A5" s="1">
        <v>204231</v>
      </c>
      <c r="B5" s="1" t="s">
        <v>10</v>
      </c>
      <c r="C5" s="1" t="s">
        <v>1</v>
      </c>
      <c r="D5" s="1" t="s">
        <v>5</v>
      </c>
      <c r="E5" s="1" t="s">
        <v>304</v>
      </c>
      <c r="F5" s="2" t="str">
        <f>HYPERLINK("https://stat100.ameba.jp/tnk47/ratio20/illustrations/card/ill_204231_ushiwakamaru01.jpg", "■")</f>
        <v>■</v>
      </c>
      <c r="G5" s="5" t="s">
        <v>293</v>
      </c>
      <c r="H5" s="1" t="s">
        <v>310</v>
      </c>
      <c r="I5" s="1" t="s">
        <v>303</v>
      </c>
      <c r="J5" s="1">
        <v>20</v>
      </c>
      <c r="K5" s="1">
        <v>38000</v>
      </c>
      <c r="L5" s="1">
        <v>34200</v>
      </c>
      <c r="M5" s="1" t="s">
        <v>294</v>
      </c>
      <c r="N5" s="1" t="s">
        <v>313</v>
      </c>
    </row>
    <row r="6" spans="1:15">
      <c r="A6" s="1">
        <v>204241</v>
      </c>
      <c r="B6" s="1" t="s">
        <v>10</v>
      </c>
      <c r="C6" s="1" t="s">
        <v>4</v>
      </c>
      <c r="D6" s="1" t="s">
        <v>158</v>
      </c>
      <c r="E6" s="1" t="s">
        <v>305</v>
      </c>
      <c r="F6" s="2" t="str">
        <f>HYPERLINK("https://stat100.ameba.jp/tnk47/ratio20/illustrations/card/ill_204241_kinunumanohataorihime01.jpg", "■")</f>
        <v>■</v>
      </c>
      <c r="G6" s="5" t="s">
        <v>292</v>
      </c>
      <c r="H6" s="1" t="s">
        <v>310</v>
      </c>
      <c r="I6" s="1" t="s">
        <v>303</v>
      </c>
      <c r="J6" s="1">
        <v>20</v>
      </c>
      <c r="K6" s="1">
        <v>38000</v>
      </c>
      <c r="L6" s="1">
        <v>34200</v>
      </c>
      <c r="M6" s="1" t="s">
        <v>297</v>
      </c>
      <c r="N6" s="1" t="s">
        <v>314</v>
      </c>
    </row>
    <row r="7" spans="1:15">
      <c r="A7" s="1">
        <v>204251</v>
      </c>
      <c r="B7" s="1" t="s">
        <v>10</v>
      </c>
      <c r="C7" s="1" t="s">
        <v>6</v>
      </c>
      <c r="D7" s="1" t="s">
        <v>101</v>
      </c>
      <c r="E7" s="1" t="s">
        <v>306</v>
      </c>
      <c r="F7" s="2" t="str">
        <f>HYPERLINK("https://stat100.ameba.jp/tnk47/ratio20/illustrations/card/ill_204251_shingensofutochan01.jpg", "■")</f>
        <v>■</v>
      </c>
      <c r="G7" s="5" t="s">
        <v>291</v>
      </c>
      <c r="H7" s="1" t="s">
        <v>310</v>
      </c>
      <c r="I7" s="1" t="s">
        <v>303</v>
      </c>
      <c r="J7" s="1">
        <v>20</v>
      </c>
      <c r="K7" s="1">
        <v>38000</v>
      </c>
      <c r="L7" s="1">
        <v>34200</v>
      </c>
      <c r="M7" s="1" t="s">
        <v>295</v>
      </c>
      <c r="N7" s="1" t="s">
        <v>315</v>
      </c>
    </row>
    <row r="8" spans="1:15">
      <c r="A8" s="1">
        <v>204261</v>
      </c>
      <c r="B8" s="1" t="s">
        <v>10</v>
      </c>
      <c r="C8" s="1" t="s">
        <v>7</v>
      </c>
      <c r="D8" s="1" t="s">
        <v>300</v>
      </c>
      <c r="E8" s="1" t="s">
        <v>307</v>
      </c>
      <c r="F8" s="2" t="str">
        <f>HYPERLINK("https://stat100.ameba.jp/tnk47/ratio20/illustrations/card/ill_204261_hoshikumadoji01.jpg", "■")</f>
        <v>■</v>
      </c>
      <c r="G8" s="5" t="s">
        <v>290</v>
      </c>
      <c r="H8" s="1" t="s">
        <v>310</v>
      </c>
      <c r="I8" s="1" t="s">
        <v>303</v>
      </c>
      <c r="J8" s="1">
        <v>20</v>
      </c>
      <c r="K8" s="1">
        <v>38000</v>
      </c>
      <c r="L8" s="1">
        <v>34200</v>
      </c>
      <c r="M8" s="1" t="s">
        <v>296</v>
      </c>
      <c r="N8" s="1" t="s">
        <v>316</v>
      </c>
    </row>
    <row r="9" spans="1:15">
      <c r="A9" s="1">
        <v>204271</v>
      </c>
      <c r="B9" s="1" t="s">
        <v>10</v>
      </c>
      <c r="C9" s="1" t="s">
        <v>8</v>
      </c>
      <c r="D9" s="1" t="s">
        <v>301</v>
      </c>
      <c r="E9" s="1" t="s">
        <v>308</v>
      </c>
      <c r="F9" s="2" t="str">
        <f>HYPERLINK("https://stat100.ameba.jp/tnk47/ratio20/illustrations/card/ill_204271_innoshimasuigummatsuri01.jpg", "■")</f>
        <v>■</v>
      </c>
      <c r="G9" s="5" t="s">
        <v>289</v>
      </c>
      <c r="H9" s="1" t="s">
        <v>312</v>
      </c>
      <c r="I9" s="1" t="s">
        <v>311</v>
      </c>
      <c r="J9" s="1">
        <v>20</v>
      </c>
      <c r="K9" s="1">
        <v>38000</v>
      </c>
      <c r="L9" s="1">
        <v>34200</v>
      </c>
      <c r="M9" s="1" t="s">
        <v>298</v>
      </c>
      <c r="N9" s="1" t="s">
        <v>317</v>
      </c>
    </row>
    <row r="10" spans="1:15">
      <c r="A10" s="1">
        <v>204281</v>
      </c>
      <c r="B10" s="1" t="s">
        <v>10</v>
      </c>
      <c r="C10" s="1" t="s">
        <v>9</v>
      </c>
      <c r="D10" s="1" t="s">
        <v>302</v>
      </c>
      <c r="E10" s="1" t="s">
        <v>309</v>
      </c>
      <c r="F10" s="2" t="str">
        <f>HYPERLINK("https://stat100.ameba.jp/tnk47/ratio20/illustrations/card/ill_204281_wakayamabokusui01.jpg", "■")</f>
        <v>■</v>
      </c>
      <c r="G10" s="5" t="s">
        <v>288</v>
      </c>
      <c r="H10" s="1" t="s">
        <v>310</v>
      </c>
      <c r="I10" s="1" t="s">
        <v>303</v>
      </c>
      <c r="J10" s="1">
        <v>20</v>
      </c>
      <c r="K10" s="1">
        <v>38000</v>
      </c>
      <c r="L10" s="1">
        <v>34200</v>
      </c>
      <c r="M10" s="1" t="s">
        <v>299</v>
      </c>
      <c r="N10" s="1" t="s">
        <v>587</v>
      </c>
    </row>
    <row r="11" spans="1:15">
      <c r="F11" s="2"/>
      <c r="G11" s="5"/>
    </row>
    <row r="12" spans="1:15">
      <c r="A12" s="1" t="s">
        <v>602</v>
      </c>
      <c r="F12" s="2"/>
      <c r="G12" s="5"/>
    </row>
    <row r="13" spans="1:15">
      <c r="A13" s="1">
        <v>94921</v>
      </c>
      <c r="B13" s="1" t="s">
        <v>23</v>
      </c>
      <c r="C13" s="1" t="s">
        <v>1</v>
      </c>
      <c r="D13" s="1" t="s">
        <v>413</v>
      </c>
      <c r="E13" s="1" t="s">
        <v>583</v>
      </c>
      <c r="F13" s="2" t="str">
        <f>HYPERLINK("https://stat100.ameba.jp/tnk47/ratio20/illustrations/card/ill_94921_shinshunnisennijuichishinkirochan01.jpg", "■")</f>
        <v>■</v>
      </c>
      <c r="G13" s="1" t="s">
        <v>586</v>
      </c>
      <c r="J13" s="1">
        <v>30</v>
      </c>
      <c r="K13" s="1">
        <v>74790</v>
      </c>
      <c r="L13" s="1">
        <v>69600</v>
      </c>
      <c r="M13" s="1" t="s">
        <v>584</v>
      </c>
      <c r="N13" s="1" t="s">
        <v>588</v>
      </c>
      <c r="O13" s="1" t="s">
        <v>585</v>
      </c>
    </row>
    <row r="14" spans="1:15">
      <c r="A14" s="1">
        <v>81721</v>
      </c>
      <c r="B14" s="1" t="s">
        <v>23</v>
      </c>
      <c r="C14" s="1" t="s">
        <v>1</v>
      </c>
      <c r="D14" s="1" t="s">
        <v>302</v>
      </c>
      <c r="E14" s="1" t="s">
        <v>589</v>
      </c>
      <c r="F14" s="2" t="str">
        <f>HYPERLINK("https://stat100.ameba.jp/tnk47/ratio20/illustrations/card/ill_81721_denshagarusafuaia01.jpg", "■")</f>
        <v>■</v>
      </c>
      <c r="G14" s="1" t="s">
        <v>590</v>
      </c>
      <c r="J14" s="1">
        <v>30</v>
      </c>
      <c r="K14" s="1">
        <v>72300</v>
      </c>
      <c r="L14" s="1">
        <v>77640</v>
      </c>
      <c r="M14" s="1" t="s">
        <v>591</v>
      </c>
      <c r="N14" s="1" t="s">
        <v>592</v>
      </c>
      <c r="O14" s="1" t="s">
        <v>585</v>
      </c>
    </row>
    <row r="15" spans="1:15">
      <c r="A15" s="1">
        <v>77111</v>
      </c>
      <c r="B15" s="1" t="s">
        <v>23</v>
      </c>
      <c r="C15" s="1" t="s">
        <v>4</v>
      </c>
      <c r="D15" s="1" t="s">
        <v>595</v>
      </c>
      <c r="E15" s="1" t="s">
        <v>593</v>
      </c>
      <c r="F15" s="2" t="str">
        <f>HYPERLINK("https://stat100.ameba.jp/tnk47/ratio20/illustrations/card/ill_77111_yukemurikandamyojin01.jpg", "■")</f>
        <v>■</v>
      </c>
      <c r="G15" s="1" t="s">
        <v>594</v>
      </c>
      <c r="J15" s="1">
        <v>30</v>
      </c>
      <c r="K15" s="1">
        <v>78090</v>
      </c>
      <c r="L15" s="1">
        <v>72690</v>
      </c>
      <c r="M15" s="1" t="s">
        <v>596</v>
      </c>
      <c r="N15" s="1" t="s">
        <v>597</v>
      </c>
      <c r="O15" s="1" t="s">
        <v>585</v>
      </c>
    </row>
    <row r="16" spans="1:15">
      <c r="A16" s="1">
        <v>82361</v>
      </c>
      <c r="B16" s="1" t="s">
        <v>23</v>
      </c>
      <c r="C16" s="1" t="s">
        <v>4</v>
      </c>
      <c r="D16" s="1" t="s">
        <v>2</v>
      </c>
      <c r="E16" s="1" t="s">
        <v>598</v>
      </c>
      <c r="F16" s="2" t="str">
        <f>HYPERLINK("https://stat100.ameba.jp/tnk47/ratio20/illustrations/card/ill_82361_bikinigaruteneiin01.jpg", "■")</f>
        <v>■</v>
      </c>
      <c r="G16" s="1" t="s">
        <v>599</v>
      </c>
      <c r="J16" s="1">
        <v>30</v>
      </c>
      <c r="K16" s="1">
        <v>69600</v>
      </c>
      <c r="L16" s="1">
        <v>74790</v>
      </c>
      <c r="M16" s="1" t="s">
        <v>600</v>
      </c>
      <c r="N16" s="1" t="s">
        <v>601</v>
      </c>
      <c r="O16" s="1" t="s">
        <v>585</v>
      </c>
    </row>
    <row r="17" spans="1:15">
      <c r="A17" s="1">
        <v>84871</v>
      </c>
      <c r="B17" s="1" t="s">
        <v>23</v>
      </c>
      <c r="C17" s="1" t="s">
        <v>6</v>
      </c>
      <c r="D17" s="1" t="s">
        <v>300</v>
      </c>
      <c r="E17" s="1" t="s">
        <v>603</v>
      </c>
      <c r="F17" s="2" t="str">
        <f>HYPERLINK("https://stat100.ameba.jp/tnk47/ratio20/illustrations/card/ill_84871_onsengaihamahime01.jpg", "■")</f>
        <v>■</v>
      </c>
      <c r="G17" s="1" t="s">
        <v>604</v>
      </c>
      <c r="J17" s="1">
        <v>30</v>
      </c>
      <c r="K17" s="1">
        <v>90420</v>
      </c>
      <c r="L17" s="1">
        <v>84180</v>
      </c>
      <c r="M17" s="1" t="s">
        <v>605</v>
      </c>
      <c r="N17" s="1" t="s">
        <v>606</v>
      </c>
      <c r="O17" s="1" t="s">
        <v>585</v>
      </c>
    </row>
    <row r="18" spans="1:15">
      <c r="A18" s="1">
        <v>79971</v>
      </c>
      <c r="B18" s="1" t="s">
        <v>23</v>
      </c>
      <c r="C18" s="1" t="s">
        <v>6</v>
      </c>
      <c r="D18" s="1" t="s">
        <v>5</v>
      </c>
      <c r="E18" s="1" t="s">
        <v>608</v>
      </c>
      <c r="F18" s="2" t="str">
        <f>HYPERLINK("https://stat100.ameba.jp/tnk47/ratio20/illustrations/card/ill_79971_hinamatsurihangakugozen01.jpg", "■")</f>
        <v>■</v>
      </c>
      <c r="G18" s="1" t="s">
        <v>609</v>
      </c>
      <c r="J18" s="1">
        <v>30</v>
      </c>
      <c r="K18" s="1">
        <v>105960</v>
      </c>
      <c r="L18" s="1">
        <v>113820</v>
      </c>
      <c r="M18" s="1" t="s">
        <v>610</v>
      </c>
      <c r="N18" s="1" t="s">
        <v>611</v>
      </c>
      <c r="O18" s="1" t="s">
        <v>585</v>
      </c>
    </row>
    <row r="19" spans="1:15">
      <c r="A19" s="1">
        <v>90341</v>
      </c>
      <c r="B19" s="1" t="s">
        <v>23</v>
      </c>
      <c r="C19" s="1" t="s">
        <v>7</v>
      </c>
      <c r="D19" s="1" t="s">
        <v>301</v>
      </c>
      <c r="E19" s="1" t="s">
        <v>612</v>
      </c>
      <c r="F19" s="2" t="str">
        <f>HYPERLINK("https://stat100.ameba.jp/tnk47/ratio20/illustrations/card/ill_90341_nangokubakansuamerikamurachan01.jpg", "■")</f>
        <v>■</v>
      </c>
      <c r="G19" s="1" t="s">
        <v>613</v>
      </c>
      <c r="J19" s="1">
        <v>30</v>
      </c>
      <c r="K19" s="1">
        <v>87180</v>
      </c>
      <c r="L19" s="1">
        <v>81210</v>
      </c>
      <c r="M19" s="1" t="s">
        <v>614</v>
      </c>
      <c r="N19" s="1" t="s">
        <v>615</v>
      </c>
      <c r="O19" s="1" t="s">
        <v>585</v>
      </c>
    </row>
    <row r="20" spans="1:15">
      <c r="A20" s="1">
        <v>81731</v>
      </c>
      <c r="B20" s="1" t="s">
        <v>23</v>
      </c>
      <c r="C20" s="1" t="s">
        <v>7</v>
      </c>
      <c r="D20" s="1" t="s">
        <v>101</v>
      </c>
      <c r="E20" s="1" t="s">
        <v>616</v>
      </c>
      <c r="F20" s="2" t="str">
        <f>HYPERLINK("https://stat100.ameba.jp/tnk47/ratio20/illustrations/card/ill_81731_denshagaruzuwaiganichan01.jpg", "■")</f>
        <v>■</v>
      </c>
      <c r="G20" s="1" t="s">
        <v>619</v>
      </c>
      <c r="J20" s="1">
        <v>30</v>
      </c>
      <c r="K20" s="1">
        <v>84180</v>
      </c>
      <c r="L20" s="1">
        <v>90420</v>
      </c>
      <c r="M20" s="1" t="s">
        <v>618</v>
      </c>
      <c r="N20" s="1" t="s">
        <v>620</v>
      </c>
      <c r="O20" s="1" t="s">
        <v>585</v>
      </c>
    </row>
    <row r="21" spans="1:15">
      <c r="A21" s="1">
        <v>86231</v>
      </c>
      <c r="B21" s="1" t="s">
        <v>23</v>
      </c>
      <c r="C21" s="1" t="s">
        <v>8</v>
      </c>
      <c r="D21" s="1" t="s">
        <v>623</v>
      </c>
      <c r="E21" s="1" t="s">
        <v>621</v>
      </c>
      <c r="F21" s="2" t="str">
        <f>HYPERLINK("https://stat100.ameba.jp/tnk47/ratio20/illustrations/card/ill_86231_oshogatsukoizumiyakumo01.jpg", "■")</f>
        <v>■</v>
      </c>
      <c r="G21" s="1" t="s">
        <v>622</v>
      </c>
      <c r="J21" s="1">
        <v>30</v>
      </c>
      <c r="K21" s="1">
        <v>74790</v>
      </c>
      <c r="L21" s="1">
        <v>69600</v>
      </c>
      <c r="M21" s="1" t="s">
        <v>624</v>
      </c>
      <c r="N21" s="1" t="s">
        <v>625</v>
      </c>
      <c r="O21" s="1" t="s">
        <v>585</v>
      </c>
    </row>
    <row r="22" spans="1:15">
      <c r="A22" s="1">
        <v>86851</v>
      </c>
      <c r="B22" s="1" t="s">
        <v>23</v>
      </c>
      <c r="C22" s="1" t="s">
        <v>8</v>
      </c>
      <c r="D22" s="1" t="s">
        <v>158</v>
      </c>
      <c r="E22" s="1" t="s">
        <v>626</v>
      </c>
      <c r="F22" s="2" t="str">
        <f>HYPERLINK("https://stat100.ameba.jp/tnk47/ratio20/illustrations/card/ill_86851_chokonohisangoiro01.jpg", "■")</f>
        <v>■</v>
      </c>
      <c r="G22" s="1" t="s">
        <v>627</v>
      </c>
      <c r="J22" s="1">
        <v>30</v>
      </c>
      <c r="K22" s="1">
        <v>81210</v>
      </c>
      <c r="L22" s="1">
        <v>87240</v>
      </c>
      <c r="M22" s="1" t="s">
        <v>629</v>
      </c>
      <c r="N22" s="1" t="s">
        <v>628</v>
      </c>
      <c r="O22" s="1" t="s">
        <v>585</v>
      </c>
    </row>
    <row r="23" spans="1:15">
      <c r="A23" s="1">
        <v>87601</v>
      </c>
      <c r="B23" s="1" t="s">
        <v>23</v>
      </c>
      <c r="C23" s="1" t="s">
        <v>9</v>
      </c>
      <c r="D23" s="1" t="s">
        <v>2</v>
      </c>
      <c r="E23" s="1" t="s">
        <v>630</v>
      </c>
      <c r="F23" s="2" t="str">
        <f>HYPERLINK("https://stat100.ameba.jp/tnk47/ratio20/illustrations/card/ill_87601_oendanruisufuroisu01.jpg", "■")</f>
        <v>■</v>
      </c>
      <c r="G23" s="1" t="s">
        <v>631</v>
      </c>
      <c r="H23" s="1" t="s">
        <v>607</v>
      </c>
      <c r="I23" s="1" t="s">
        <v>640</v>
      </c>
      <c r="J23" s="1">
        <v>30</v>
      </c>
      <c r="K23" s="1">
        <v>113820</v>
      </c>
      <c r="L23" s="1">
        <v>105960</v>
      </c>
      <c r="M23" s="1" t="s">
        <v>633</v>
      </c>
      <c r="N23" s="1" t="s">
        <v>632</v>
      </c>
      <c r="O23" s="1" t="s">
        <v>585</v>
      </c>
    </row>
    <row r="24" spans="1:15">
      <c r="A24" s="1">
        <v>79331</v>
      </c>
      <c r="B24" s="1" t="s">
        <v>23</v>
      </c>
      <c r="C24" s="1" t="s">
        <v>9</v>
      </c>
      <c r="D24" s="1" t="s">
        <v>617</v>
      </c>
      <c r="E24" s="1" t="s">
        <v>634</v>
      </c>
      <c r="F24" s="2" t="str">
        <f>HYPERLINK("https://stat100.ameba.jp/tnk47/ratio20/illustrations/card/ill_79331_hommeichokochokoretokeki01.jpg", "■")</f>
        <v>■</v>
      </c>
      <c r="G24" s="1" t="s">
        <v>635</v>
      </c>
      <c r="J24" s="1">
        <v>30</v>
      </c>
      <c r="K24" s="1">
        <v>84180</v>
      </c>
      <c r="L24" s="1">
        <v>90420</v>
      </c>
      <c r="M24" s="1" t="s">
        <v>636</v>
      </c>
      <c r="N24" s="1" t="s">
        <v>637</v>
      </c>
      <c r="O24" s="1" t="s">
        <v>585</v>
      </c>
    </row>
    <row r="26" spans="1:15">
      <c r="A26" s="1" t="s">
        <v>321</v>
      </c>
    </row>
    <row r="27" spans="1:15">
      <c r="A27" s="1" t="s">
        <v>369</v>
      </c>
    </row>
    <row r="28" spans="1:15">
      <c r="A28" s="1">
        <v>75871</v>
      </c>
      <c r="B28" s="1" t="s">
        <v>23</v>
      </c>
      <c r="C28" s="1" t="s">
        <v>22</v>
      </c>
      <c r="D28" s="1" t="s">
        <v>301</v>
      </c>
      <c r="E28" s="1" t="s">
        <v>456</v>
      </c>
      <c r="F28" s="2" t="str">
        <f>HYPERLINK("https://stat100.ameba.jp/tnk47/ratio20/illustrations/card/ill_75871_harajukuroriitachan01.jpg", "■")</f>
        <v>■</v>
      </c>
      <c r="G28" s="1" t="s">
        <v>469</v>
      </c>
      <c r="I28" s="1" t="s">
        <v>570</v>
      </c>
      <c r="J28" s="1">
        <v>28</v>
      </c>
      <c r="K28" s="1">
        <v>78568</v>
      </c>
      <c r="L28" s="1">
        <v>84392</v>
      </c>
      <c r="M28" s="1" t="s">
        <v>455</v>
      </c>
      <c r="N28" s="1" t="s">
        <v>539</v>
      </c>
      <c r="O28" s="1" t="s">
        <v>468</v>
      </c>
    </row>
    <row r="29" spans="1:15">
      <c r="A29" s="1">
        <v>70061</v>
      </c>
      <c r="B29" s="1" t="s">
        <v>23</v>
      </c>
      <c r="C29" s="1" t="s">
        <v>459</v>
      </c>
      <c r="D29" s="1" t="s">
        <v>301</v>
      </c>
      <c r="E29" s="1" t="s">
        <v>458</v>
      </c>
      <c r="F29" s="2" t="str">
        <f>HYPERLINK("https://stat100.ameba.jp/tnk47/ratio20/illustrations/card/ill_70061_aiokometebarentainchanzu01.jpg", "■")</f>
        <v>■</v>
      </c>
      <c r="G29" s="1" t="s">
        <v>471</v>
      </c>
      <c r="I29" s="1" t="s">
        <v>515</v>
      </c>
      <c r="J29" s="1">
        <v>28</v>
      </c>
      <c r="K29" s="1">
        <v>81340</v>
      </c>
      <c r="L29" s="1">
        <v>75796</v>
      </c>
      <c r="M29" s="1" t="s">
        <v>457</v>
      </c>
      <c r="N29" s="1" t="s">
        <v>540</v>
      </c>
      <c r="O29" s="1" t="s">
        <v>470</v>
      </c>
    </row>
    <row r="30" spans="1:15">
      <c r="A30" s="1">
        <v>68691</v>
      </c>
      <c r="B30" s="1" t="s">
        <v>23</v>
      </c>
      <c r="C30" s="1" t="s">
        <v>22</v>
      </c>
      <c r="D30" s="1" t="s">
        <v>300</v>
      </c>
      <c r="E30" s="1" t="s">
        <v>461</v>
      </c>
      <c r="F30" s="2" t="str">
        <f>HYPERLINK("https://stat100.ameba.jp/tnk47/ratio20/illustrations/card/ill_68691_mayoiga01.jpg", "■")</f>
        <v>■</v>
      </c>
      <c r="G30" s="1" t="s">
        <v>473</v>
      </c>
      <c r="I30" s="1" t="s">
        <v>515</v>
      </c>
      <c r="J30" s="1">
        <v>28</v>
      </c>
      <c r="K30" s="1">
        <v>94500</v>
      </c>
      <c r="L30" s="1">
        <v>68460</v>
      </c>
      <c r="M30" s="1" t="s">
        <v>460</v>
      </c>
      <c r="N30" s="1" t="s">
        <v>541</v>
      </c>
      <c r="O30" s="1" t="s">
        <v>472</v>
      </c>
    </row>
    <row r="31" spans="1:15">
      <c r="A31" s="1">
        <v>54711</v>
      </c>
      <c r="B31" s="1" t="s">
        <v>23</v>
      </c>
      <c r="C31" s="1" t="s">
        <v>476</v>
      </c>
      <c r="D31" s="1" t="s">
        <v>2</v>
      </c>
      <c r="E31" s="1" t="s">
        <v>463</v>
      </c>
      <c r="F31" s="2" t="str">
        <f>HYPERLINK("https://stat100.ameba.jp/tnk47/ratio20/illustrations/card/ill_54711_okashiononokomachi01.jpg", "■")</f>
        <v>■</v>
      </c>
      <c r="G31" s="1" t="s">
        <v>474</v>
      </c>
      <c r="I31" s="1" t="s">
        <v>571</v>
      </c>
      <c r="J31" s="1">
        <v>28</v>
      </c>
      <c r="K31" s="1">
        <v>68880</v>
      </c>
      <c r="L31" s="1">
        <v>64120</v>
      </c>
      <c r="M31" s="1" t="s">
        <v>462</v>
      </c>
      <c r="N31" s="1" t="s">
        <v>542</v>
      </c>
      <c r="O31" s="1" t="s">
        <v>475</v>
      </c>
    </row>
    <row r="32" spans="1:15">
      <c r="A32" s="1">
        <v>81021</v>
      </c>
      <c r="B32" s="1" t="s">
        <v>23</v>
      </c>
      <c r="C32" s="1" t="s">
        <v>100</v>
      </c>
      <c r="D32" s="1" t="s">
        <v>5</v>
      </c>
      <c r="E32" s="1" t="s">
        <v>465</v>
      </c>
      <c r="F32" s="2" t="str">
        <f>HYPERLINK("https://stat100.ameba.jp/tnk47/ratio20/illustrations/card/ill_81021_momonokenki01.jpg", "■")</f>
        <v>■</v>
      </c>
      <c r="G32" s="1" t="s">
        <v>478</v>
      </c>
      <c r="I32" s="1" t="s">
        <v>568</v>
      </c>
      <c r="J32" s="1">
        <v>28</v>
      </c>
      <c r="K32" s="1">
        <v>94500</v>
      </c>
      <c r="L32" s="1">
        <v>68460</v>
      </c>
      <c r="M32" s="1" t="s">
        <v>464</v>
      </c>
      <c r="N32" s="1" t="s">
        <v>543</v>
      </c>
      <c r="O32" s="1" t="s">
        <v>477</v>
      </c>
    </row>
    <row r="33" spans="1:15">
      <c r="A33" s="1">
        <v>52081</v>
      </c>
      <c r="B33" s="1" t="s">
        <v>23</v>
      </c>
      <c r="C33" s="1" t="s">
        <v>100</v>
      </c>
      <c r="D33" s="1" t="s">
        <v>301</v>
      </c>
      <c r="E33" s="1" t="s">
        <v>467</v>
      </c>
      <c r="F33" s="2" t="str">
        <f>HYPERLINK("https://stat100.ameba.jp/tnk47/ratio20/illustrations/card/ill_52081_berubetto01.jpg", "■")</f>
        <v>■</v>
      </c>
      <c r="G33" s="1" t="s">
        <v>480</v>
      </c>
      <c r="I33" s="1" t="s">
        <v>569</v>
      </c>
      <c r="J33" s="1">
        <v>28</v>
      </c>
      <c r="K33" s="1">
        <v>61600</v>
      </c>
      <c r="L33" s="1">
        <v>85064</v>
      </c>
      <c r="M33" s="1" t="s">
        <v>466</v>
      </c>
      <c r="N33" s="1" t="s">
        <v>544</v>
      </c>
      <c r="O33" s="1" t="s">
        <v>479</v>
      </c>
    </row>
    <row r="35" spans="1:15">
      <c r="A35" s="1" t="s">
        <v>370</v>
      </c>
    </row>
    <row r="36" spans="1:15">
      <c r="A36" s="1">
        <v>85281</v>
      </c>
      <c r="B36" s="1" t="s">
        <v>23</v>
      </c>
      <c r="C36" s="1" t="s">
        <v>100</v>
      </c>
      <c r="D36" s="1" t="s">
        <v>101</v>
      </c>
      <c r="E36" s="1" t="s">
        <v>451</v>
      </c>
      <c r="F36" s="2" t="str">
        <f>HYPERLINK("https://stat100.ameba.jp/tnk47/ratio20/illustrations/card/ill_85281_chukahantenramunechan01.jpg", "■")</f>
        <v>■</v>
      </c>
      <c r="G36" s="1" t="s">
        <v>191</v>
      </c>
      <c r="I36" s="1" t="s">
        <v>567</v>
      </c>
      <c r="J36" s="1">
        <v>28</v>
      </c>
      <c r="K36" s="1">
        <v>84392</v>
      </c>
      <c r="L36" s="1">
        <v>78568</v>
      </c>
      <c r="M36" s="1" t="s">
        <v>194</v>
      </c>
      <c r="N36" s="1" t="s">
        <v>545</v>
      </c>
      <c r="O36" s="1" t="s">
        <v>572</v>
      </c>
    </row>
    <row r="37" spans="1:15">
      <c r="A37" s="1">
        <v>83871</v>
      </c>
      <c r="B37" s="1" t="s">
        <v>23</v>
      </c>
      <c r="C37" s="1" t="s">
        <v>22</v>
      </c>
      <c r="D37" s="1" t="s">
        <v>300</v>
      </c>
      <c r="E37" s="1" t="s">
        <v>452</v>
      </c>
      <c r="F37" s="2" t="str">
        <f>HYPERLINK("https://stat100.ameba.jp/tnk47/ratio20/illustrations/card/ill_83871_manekinekoaputoruyamupeuenyuku01.jpg", "■")</f>
        <v>■</v>
      </c>
      <c r="G37" s="1" t="s">
        <v>174</v>
      </c>
      <c r="I37" s="1" t="s">
        <v>280</v>
      </c>
      <c r="J37" s="1">
        <v>28</v>
      </c>
      <c r="K37" s="1">
        <v>69328</v>
      </c>
      <c r="L37" s="1">
        <v>74452</v>
      </c>
      <c r="M37" s="1" t="s">
        <v>173</v>
      </c>
      <c r="N37" s="1" t="s">
        <v>546</v>
      </c>
      <c r="O37" s="1" t="s">
        <v>573</v>
      </c>
    </row>
    <row r="38" spans="1:15">
      <c r="A38" s="1">
        <v>82741</v>
      </c>
      <c r="B38" s="1" t="s">
        <v>23</v>
      </c>
      <c r="C38" s="1" t="s">
        <v>100</v>
      </c>
      <c r="D38" s="1" t="s">
        <v>158</v>
      </c>
      <c r="E38" s="1" t="s">
        <v>453</v>
      </c>
      <c r="F38" s="2" t="str">
        <f>HYPERLINK("https://stat100.ameba.jp/tnk47/ratio20/illustrations/card/ill_82741_furesshumirukuyokubukanyobo01.jpg", "■")</f>
        <v>■</v>
      </c>
      <c r="G38" s="1" t="s">
        <v>199</v>
      </c>
      <c r="I38" s="1" t="s">
        <v>286</v>
      </c>
      <c r="J38" s="1">
        <v>28</v>
      </c>
      <c r="K38" s="1">
        <v>75796</v>
      </c>
      <c r="L38" s="1">
        <v>81424</v>
      </c>
      <c r="M38" s="1" t="s">
        <v>159</v>
      </c>
      <c r="N38" s="1" t="s">
        <v>547</v>
      </c>
      <c r="O38" s="1" t="s">
        <v>574</v>
      </c>
    </row>
    <row r="39" spans="1:15">
      <c r="A39" s="1">
        <v>75731</v>
      </c>
      <c r="B39" s="1" t="s">
        <v>23</v>
      </c>
      <c r="C39" s="1" t="s">
        <v>22</v>
      </c>
      <c r="D39" s="1" t="s">
        <v>5</v>
      </c>
      <c r="E39" s="1" t="s">
        <v>454</v>
      </c>
      <c r="F39" s="2" t="str">
        <f>HYPERLINK("https://stat100.ameba.jp/tnk47/ratio20/illustrations/card/ill_75731_nakanotakeko01.jpg", "■")</f>
        <v>■</v>
      </c>
      <c r="G39" s="1" t="s">
        <v>120</v>
      </c>
      <c r="I39" s="1" t="s">
        <v>140</v>
      </c>
      <c r="J39" s="1">
        <v>28</v>
      </c>
      <c r="K39" s="1">
        <v>106232</v>
      </c>
      <c r="L39" s="1">
        <v>98896</v>
      </c>
      <c r="M39" s="1" t="s">
        <v>24</v>
      </c>
      <c r="N39" s="1" t="s">
        <v>548</v>
      </c>
      <c r="O39" s="1" t="s">
        <v>575</v>
      </c>
    </row>
    <row r="41" spans="1:15">
      <c r="A41" s="1" t="s">
        <v>371</v>
      </c>
    </row>
    <row r="42" spans="1:15">
      <c r="A42" s="1">
        <v>25221</v>
      </c>
      <c r="B42" s="1" t="s">
        <v>10</v>
      </c>
      <c r="C42" s="1" t="s">
        <v>432</v>
      </c>
      <c r="D42" s="1" t="s">
        <v>318</v>
      </c>
      <c r="E42" s="1" t="s">
        <v>431</v>
      </c>
      <c r="F42" s="2" t="str">
        <f>HYPERLINK("https://stat100.ameba.jp/tnk47/ratio20/illustrations/card/ill_25221_chogokadango01.jpg", "■")</f>
        <v>■</v>
      </c>
      <c r="G42" s="1" t="s">
        <v>481</v>
      </c>
      <c r="J42" s="1">
        <v>999</v>
      </c>
      <c r="K42" s="1">
        <v>100</v>
      </c>
      <c r="L42" s="1">
        <v>100</v>
      </c>
      <c r="M42" s="1" t="s">
        <v>318</v>
      </c>
      <c r="N42" s="1" t="s">
        <v>318</v>
      </c>
    </row>
    <row r="43" spans="1:15">
      <c r="A43" s="1">
        <v>32741</v>
      </c>
      <c r="B43" s="1" t="s">
        <v>10</v>
      </c>
      <c r="C43" s="1" t="s">
        <v>434</v>
      </c>
      <c r="D43" s="1" t="s">
        <v>318</v>
      </c>
      <c r="E43" s="1" t="s">
        <v>433</v>
      </c>
      <c r="F43" s="2" t="str">
        <f>HYPERLINK("https://stat100.ameba.jp/tnk47/ratio20/illustrations/card/ill_32741_zetsudai_esureashinkanohiryu01.jpg", "■")</f>
        <v>■</v>
      </c>
      <c r="G43" s="1" t="s">
        <v>482</v>
      </c>
      <c r="H43" s="1" t="s">
        <v>582</v>
      </c>
      <c r="J43" s="1">
        <v>999</v>
      </c>
      <c r="K43" s="1">
        <v>30000</v>
      </c>
      <c r="L43" s="1">
        <v>30000</v>
      </c>
      <c r="M43" s="1" t="s">
        <v>318</v>
      </c>
      <c r="N43" s="1" t="s">
        <v>318</v>
      </c>
    </row>
    <row r="45" spans="1:15">
      <c r="A45" s="1" t="s">
        <v>372</v>
      </c>
    </row>
    <row r="46" spans="1:15">
      <c r="A46" s="1">
        <v>76811</v>
      </c>
      <c r="B46" s="1" t="s">
        <v>23</v>
      </c>
      <c r="C46" s="1" t="s">
        <v>319</v>
      </c>
      <c r="D46" s="1" t="s">
        <v>3</v>
      </c>
      <c r="E46" s="1" t="s">
        <v>436</v>
      </c>
      <c r="F46" s="2" t="str">
        <f>HYPERLINK("https://stat100.ameba.jp/tnk47/ratio20/illustrations/card/ill_76811_yukemurigoryunotsubone01.jpg", "■")</f>
        <v>■</v>
      </c>
      <c r="G46" s="1" t="s">
        <v>483</v>
      </c>
      <c r="I46" s="1" t="s">
        <v>535</v>
      </c>
      <c r="J46" s="1">
        <v>25</v>
      </c>
      <c r="K46" s="1">
        <v>39875</v>
      </c>
      <c r="L46" s="1">
        <v>55075</v>
      </c>
      <c r="M46" s="1" t="s">
        <v>435</v>
      </c>
      <c r="N46" s="1" t="s">
        <v>549</v>
      </c>
    </row>
    <row r="47" spans="1:15">
      <c r="A47" s="1">
        <v>80731</v>
      </c>
      <c r="B47" s="1" t="s">
        <v>23</v>
      </c>
      <c r="C47" s="1" t="s">
        <v>320</v>
      </c>
      <c r="D47" s="1" t="s">
        <v>302</v>
      </c>
      <c r="E47" s="1" t="s">
        <v>438</v>
      </c>
      <c r="F47" s="2" t="str">
        <f>HYPERLINK("https://stat100.ameba.jp/tnk47/ratio20/illustrations/card/ill_80731_chesu01.jpg", "■")</f>
        <v>■</v>
      </c>
      <c r="G47" s="1" t="s">
        <v>484</v>
      </c>
      <c r="H47" s="1" t="s">
        <v>578</v>
      </c>
      <c r="I47" s="1" t="s">
        <v>515</v>
      </c>
      <c r="J47" s="1">
        <v>25</v>
      </c>
      <c r="K47" s="1">
        <v>63750</v>
      </c>
      <c r="L47" s="1">
        <v>88025</v>
      </c>
      <c r="M47" s="1" t="s">
        <v>437</v>
      </c>
      <c r="N47" s="1" t="s">
        <v>550</v>
      </c>
    </row>
    <row r="48" spans="1:15">
      <c r="A48" s="1">
        <v>80151</v>
      </c>
      <c r="B48" s="1" t="s">
        <v>23</v>
      </c>
      <c r="C48" s="1" t="s">
        <v>319</v>
      </c>
      <c r="D48" s="1" t="s">
        <v>5</v>
      </c>
      <c r="E48" s="1" t="s">
        <v>440</v>
      </c>
      <c r="F48" s="2" t="str">
        <f>HYPERLINK("https://stat100.ameba.jp/tnk47/ratio20/illustrations/card/ill_80151_asashinsukurutsuneyamagozen01.jpg", "■")</f>
        <v>■</v>
      </c>
      <c r="G48" s="1" t="s">
        <v>485</v>
      </c>
      <c r="I48" s="1" t="s">
        <v>515</v>
      </c>
      <c r="J48" s="1">
        <v>25</v>
      </c>
      <c r="K48" s="1">
        <v>41850</v>
      </c>
      <c r="L48" s="1">
        <v>57825</v>
      </c>
      <c r="M48" s="1" t="s">
        <v>439</v>
      </c>
      <c r="N48" s="1" t="s">
        <v>551</v>
      </c>
    </row>
    <row r="49" spans="1:14">
      <c r="A49" s="1">
        <v>80141</v>
      </c>
      <c r="B49" s="1" t="s">
        <v>23</v>
      </c>
      <c r="C49" s="1" t="s">
        <v>320</v>
      </c>
      <c r="D49" s="1" t="s">
        <v>101</v>
      </c>
      <c r="E49" s="1" t="s">
        <v>442</v>
      </c>
      <c r="F49" s="2" t="str">
        <f>HYPERLINK("https://stat100.ameba.jp/tnk47/ratio20/illustrations/card/ill_80141_kajitsushunohebe01.jpg", "■")</f>
        <v>■</v>
      </c>
      <c r="G49" s="1" t="s">
        <v>486</v>
      </c>
      <c r="H49" s="1" t="s">
        <v>576</v>
      </c>
      <c r="I49" s="1" t="s">
        <v>536</v>
      </c>
      <c r="J49" s="1">
        <v>25</v>
      </c>
      <c r="K49" s="1">
        <v>48250</v>
      </c>
      <c r="L49" s="1">
        <v>66625</v>
      </c>
      <c r="M49" s="1" t="s">
        <v>441</v>
      </c>
      <c r="N49" s="1" t="s">
        <v>552</v>
      </c>
    </row>
    <row r="50" spans="1:14">
      <c r="A50" s="1">
        <v>81881</v>
      </c>
      <c r="B50" s="1" t="s">
        <v>23</v>
      </c>
      <c r="C50" s="1" t="s">
        <v>320</v>
      </c>
      <c r="D50" s="1" t="s">
        <v>413</v>
      </c>
      <c r="E50" s="1" t="s">
        <v>444</v>
      </c>
      <c r="F50" s="2" t="str">
        <f>HYPERLINK("https://stat100.ameba.jp/tnk47/ratio20/illustrations/card/ill_81881_beruzandei01.jpg", "■")</f>
        <v>■</v>
      </c>
      <c r="G50" s="1" t="s">
        <v>487</v>
      </c>
      <c r="I50" s="1" t="s">
        <v>537</v>
      </c>
      <c r="J50" s="1">
        <v>25</v>
      </c>
      <c r="K50" s="1">
        <v>55075</v>
      </c>
      <c r="L50" s="1">
        <v>39875</v>
      </c>
      <c r="M50" s="1" t="s">
        <v>443</v>
      </c>
      <c r="N50" s="1" t="s">
        <v>553</v>
      </c>
    </row>
    <row r="51" spans="1:14">
      <c r="A51" s="1">
        <v>78811</v>
      </c>
      <c r="B51" s="1" t="s">
        <v>23</v>
      </c>
      <c r="C51" s="1" t="s">
        <v>319</v>
      </c>
      <c r="D51" s="1" t="s">
        <v>101</v>
      </c>
      <c r="E51" s="1" t="s">
        <v>446</v>
      </c>
      <c r="F51" s="2" t="str">
        <f>HYPERLINK("https://stat100.ameba.jp/tnk47/ratio20/illustrations/card/ill_78811_waishatsutamagokakegohanchan01.jpg", "■")</f>
        <v>■</v>
      </c>
      <c r="G51" s="1" t="s">
        <v>488</v>
      </c>
      <c r="I51" s="1" t="s">
        <v>538</v>
      </c>
      <c r="J51" s="1">
        <v>25</v>
      </c>
      <c r="K51" s="1">
        <v>83850</v>
      </c>
      <c r="L51" s="1">
        <v>60725</v>
      </c>
      <c r="M51" s="1" t="s">
        <v>445</v>
      </c>
      <c r="N51" s="1" t="s">
        <v>554</v>
      </c>
    </row>
    <row r="52" spans="1:14">
      <c r="A52" s="1">
        <v>85021</v>
      </c>
      <c r="B52" s="1" t="s">
        <v>23</v>
      </c>
      <c r="C52" s="1" t="s">
        <v>320</v>
      </c>
      <c r="D52" s="1" t="s">
        <v>301</v>
      </c>
      <c r="E52" s="1" t="s">
        <v>448</v>
      </c>
      <c r="F52" s="2" t="str">
        <f>HYPERLINK("https://stat100.ameba.jp/tnk47/ratio20/illustrations/card/ill_85021_yataiarashinobeze01.jpg", "■")</f>
        <v>■</v>
      </c>
      <c r="G52" s="1" t="s">
        <v>489</v>
      </c>
      <c r="H52" s="1" t="s">
        <v>576</v>
      </c>
      <c r="I52" s="1" t="s">
        <v>515</v>
      </c>
      <c r="J52" s="1">
        <v>25</v>
      </c>
      <c r="K52" s="1">
        <v>57825</v>
      </c>
      <c r="L52" s="1">
        <v>41850</v>
      </c>
      <c r="M52" s="1" t="s">
        <v>447</v>
      </c>
      <c r="N52" s="1" t="s">
        <v>555</v>
      </c>
    </row>
    <row r="53" spans="1:14">
      <c r="A53" s="1">
        <v>81291</v>
      </c>
      <c r="B53" s="1" t="s">
        <v>23</v>
      </c>
      <c r="C53" s="1" t="s">
        <v>319</v>
      </c>
      <c r="D53" s="1" t="s">
        <v>158</v>
      </c>
      <c r="E53" s="1" t="s">
        <v>450</v>
      </c>
      <c r="F53" s="2" t="str">
        <f>HYPERLINK("https://stat100.ameba.jp/tnk47/ratio20/illustrations/card/ill_81291_ningyozuka01.jpg", "■")</f>
        <v>■</v>
      </c>
      <c r="G53" s="1" t="s">
        <v>490</v>
      </c>
      <c r="I53" s="1" t="s">
        <v>515</v>
      </c>
      <c r="J53" s="1">
        <v>25</v>
      </c>
      <c r="K53" s="1">
        <v>64325</v>
      </c>
      <c r="L53" s="1">
        <v>46575</v>
      </c>
      <c r="M53" s="1" t="s">
        <v>449</v>
      </c>
      <c r="N53" s="1" t="s">
        <v>556</v>
      </c>
    </row>
    <row r="55" spans="1:14">
      <c r="A55" s="1" t="s">
        <v>373</v>
      </c>
    </row>
    <row r="56" spans="1:14">
      <c r="A56" s="1">
        <v>80831</v>
      </c>
      <c r="B56" s="1" t="s">
        <v>10</v>
      </c>
      <c r="C56" s="1" t="s">
        <v>1</v>
      </c>
      <c r="D56" s="1" t="s">
        <v>2</v>
      </c>
      <c r="E56" s="1" t="s">
        <v>407</v>
      </c>
      <c r="F56" s="2" t="str">
        <f>HYPERLINK("https://stat100.ameba.jp/tnk47/ratio20/illustrations/card/ill_80831_hanamiononokomachi01.jpg", "■")</f>
        <v>■</v>
      </c>
      <c r="G56" s="1" t="s">
        <v>491</v>
      </c>
      <c r="I56" s="1" t="s">
        <v>515</v>
      </c>
      <c r="J56" s="1">
        <v>20</v>
      </c>
      <c r="K56" s="1">
        <v>38000</v>
      </c>
      <c r="L56" s="1">
        <v>34200</v>
      </c>
      <c r="M56" s="1" t="s">
        <v>406</v>
      </c>
      <c r="N56" s="1" t="s">
        <v>557</v>
      </c>
    </row>
    <row r="57" spans="1:14">
      <c r="A57" s="1">
        <v>84041</v>
      </c>
      <c r="B57" s="1" t="s">
        <v>10</v>
      </c>
      <c r="C57" s="1" t="s">
        <v>1</v>
      </c>
      <c r="D57" s="1" t="s">
        <v>3</v>
      </c>
      <c r="E57" s="1" t="s">
        <v>409</v>
      </c>
      <c r="F57" s="2" t="str">
        <f>HYPERLINK("https://stat100.ameba.jp/tnk47/ratio20/illustrations/card/ill_84041_intonnambutsuruhime01.jpg", "■")</f>
        <v>■</v>
      </c>
      <c r="G57" s="1" t="s">
        <v>492</v>
      </c>
      <c r="I57" s="1" t="s">
        <v>532</v>
      </c>
      <c r="J57" s="1">
        <v>20</v>
      </c>
      <c r="K57" s="1">
        <v>34200</v>
      </c>
      <c r="L57" s="1">
        <v>38000</v>
      </c>
      <c r="M57" s="1" t="s">
        <v>408</v>
      </c>
      <c r="N57" s="1" t="s">
        <v>558</v>
      </c>
    </row>
    <row r="58" spans="1:14">
      <c r="A58" s="1">
        <v>82141</v>
      </c>
      <c r="B58" s="1" t="s">
        <v>10</v>
      </c>
      <c r="C58" s="1" t="s">
        <v>4</v>
      </c>
      <c r="D58" s="1" t="s">
        <v>158</v>
      </c>
      <c r="E58" s="1" t="s">
        <v>411</v>
      </c>
      <c r="F58" s="2" t="str">
        <f>HYPERLINK("https://stat100.ameba.jp/tnk47/ratio20/illustrations/card/ill_82141_mitsuishinokami01.jpg", "■")</f>
        <v>■</v>
      </c>
      <c r="G58" s="1" t="s">
        <v>493</v>
      </c>
      <c r="I58" s="1" t="s">
        <v>531</v>
      </c>
      <c r="J58" s="1">
        <v>20</v>
      </c>
      <c r="K58" s="1">
        <v>38000</v>
      </c>
      <c r="L58" s="1">
        <v>34200</v>
      </c>
      <c r="M58" s="1" t="s">
        <v>410</v>
      </c>
      <c r="N58" s="1" t="s">
        <v>559</v>
      </c>
    </row>
    <row r="59" spans="1:14">
      <c r="A59" s="1">
        <v>83911</v>
      </c>
      <c r="B59" s="1" t="s">
        <v>10</v>
      </c>
      <c r="C59" s="1" t="s">
        <v>4</v>
      </c>
      <c r="D59" s="1" t="s">
        <v>413</v>
      </c>
      <c r="E59" s="1" t="s">
        <v>414</v>
      </c>
      <c r="F59" s="2" t="str">
        <f>HYPERLINK("https://stat100.ameba.jp/tnk47/ratio20/illustrations/card/ill_83911_umeoiranazusamitenjinnokomaneko01.jpg", "■")</f>
        <v>■</v>
      </c>
      <c r="G59" s="1" t="s">
        <v>494</v>
      </c>
      <c r="I59" s="1" t="s">
        <v>533</v>
      </c>
      <c r="J59" s="1">
        <v>20</v>
      </c>
      <c r="K59" s="1">
        <v>34200</v>
      </c>
      <c r="L59" s="1">
        <v>38000</v>
      </c>
      <c r="M59" s="1" t="s">
        <v>412</v>
      </c>
      <c r="N59" s="1" t="s">
        <v>560</v>
      </c>
    </row>
    <row r="60" spans="1:14">
      <c r="A60" s="1">
        <v>83801</v>
      </c>
      <c r="B60" s="1" t="s">
        <v>10</v>
      </c>
      <c r="C60" s="1" t="s">
        <v>6</v>
      </c>
      <c r="D60" s="1" t="s">
        <v>5</v>
      </c>
      <c r="E60" s="1" t="s">
        <v>416</v>
      </c>
      <c r="F60" s="2" t="str">
        <f>HYPERLINK("https://stat100.ameba.jp/tnk47/ratio20/illustrations/card/ill_83801_otokomatsurihashibahideyoshi01.jpg", "■")</f>
        <v>■</v>
      </c>
      <c r="G60" s="1" t="s">
        <v>495</v>
      </c>
      <c r="I60" s="1" t="s">
        <v>534</v>
      </c>
      <c r="J60" s="1">
        <v>20</v>
      </c>
      <c r="K60" s="1">
        <v>38000</v>
      </c>
      <c r="L60" s="1">
        <v>34200</v>
      </c>
      <c r="M60" s="1" t="s">
        <v>415</v>
      </c>
      <c r="N60" s="1" t="s">
        <v>561</v>
      </c>
    </row>
    <row r="61" spans="1:14">
      <c r="A61" s="1">
        <v>80951</v>
      </c>
      <c r="B61" s="1" t="s">
        <v>10</v>
      </c>
      <c r="C61" s="1" t="s">
        <v>6</v>
      </c>
      <c r="D61" s="1" t="s">
        <v>2</v>
      </c>
      <c r="E61" s="1" t="s">
        <v>418</v>
      </c>
      <c r="F61" s="2" t="str">
        <f>HYPERLINK("https://stat100.ameba.jp/tnk47/ratio20/illustrations/card/ill_80951_akazomemon01.jpg", "■")</f>
        <v>■</v>
      </c>
      <c r="G61" s="1" t="s">
        <v>496</v>
      </c>
      <c r="I61" s="1" t="s">
        <v>577</v>
      </c>
      <c r="J61" s="1">
        <v>20</v>
      </c>
      <c r="K61" s="1">
        <v>34200</v>
      </c>
      <c r="L61" s="1">
        <v>38000</v>
      </c>
      <c r="M61" s="1" t="s">
        <v>417</v>
      </c>
      <c r="N61" s="1" t="s">
        <v>562</v>
      </c>
    </row>
    <row r="62" spans="1:14">
      <c r="A62" s="1">
        <v>81501</v>
      </c>
      <c r="B62" s="1" t="s">
        <v>10</v>
      </c>
      <c r="C62" s="1" t="s">
        <v>7</v>
      </c>
      <c r="D62" s="1" t="s">
        <v>300</v>
      </c>
      <c r="E62" s="1" t="s">
        <v>420</v>
      </c>
      <c r="F62" s="2" t="str">
        <f>HYPERLINK("https://stat100.ameba.jp/tnk47/ratio20/illustrations/card/ill_81501_kurotengu01.jpg", "■")</f>
        <v>■</v>
      </c>
      <c r="G62" s="1" t="s">
        <v>497</v>
      </c>
      <c r="I62" s="1" t="s">
        <v>533</v>
      </c>
      <c r="J62" s="1">
        <v>20</v>
      </c>
      <c r="K62" s="1">
        <v>38000</v>
      </c>
      <c r="L62" s="1">
        <v>34200</v>
      </c>
      <c r="M62" s="1" t="s">
        <v>419</v>
      </c>
      <c r="N62" s="1" t="s">
        <v>563</v>
      </c>
    </row>
    <row r="63" spans="1:14">
      <c r="A63" s="1">
        <v>81431</v>
      </c>
      <c r="B63" s="1" t="s">
        <v>10</v>
      </c>
      <c r="C63" s="1" t="s">
        <v>7</v>
      </c>
      <c r="D63" s="1" t="s">
        <v>301</v>
      </c>
      <c r="E63" s="1" t="s">
        <v>422</v>
      </c>
      <c r="F63" s="2" t="str">
        <f>HYPERLINK("https://stat100.ameba.jp/tnk47/ratio20/illustrations/card/ill_81431_undokaikyosensuchan01.jpg", "■")</f>
        <v>■</v>
      </c>
      <c r="G63" s="1" t="s">
        <v>498</v>
      </c>
      <c r="I63" s="1" t="s">
        <v>534</v>
      </c>
      <c r="J63" s="1">
        <v>20</v>
      </c>
      <c r="K63" s="1">
        <v>34200</v>
      </c>
      <c r="L63" s="1">
        <v>38000</v>
      </c>
      <c r="M63" s="1" t="s">
        <v>421</v>
      </c>
      <c r="N63" s="1" t="s">
        <v>564</v>
      </c>
    </row>
    <row r="64" spans="1:14">
      <c r="A64" s="1">
        <v>85331</v>
      </c>
      <c r="B64" s="1" t="s">
        <v>10</v>
      </c>
      <c r="C64" s="1" t="s">
        <v>8</v>
      </c>
      <c r="D64" s="1" t="s">
        <v>413</v>
      </c>
      <c r="E64" s="1" t="s">
        <v>424</v>
      </c>
      <c r="F64" s="2" t="str">
        <f>HYPERLINK("https://stat100.ameba.jp/tnk47/ratio20/illustrations/card/ill_85331_oryoriehimenomikoto01.jpg", "■")</f>
        <v>■</v>
      </c>
      <c r="G64" s="1" t="s">
        <v>499</v>
      </c>
      <c r="I64" s="1" t="s">
        <v>534</v>
      </c>
      <c r="J64" s="1">
        <v>20</v>
      </c>
      <c r="K64" s="1">
        <v>38000</v>
      </c>
      <c r="L64" s="1">
        <v>34200</v>
      </c>
      <c r="M64" s="1" t="s">
        <v>423</v>
      </c>
      <c r="N64" s="1" t="s">
        <v>565</v>
      </c>
    </row>
    <row r="65" spans="1:14">
      <c r="A65" s="1">
        <v>84461</v>
      </c>
      <c r="B65" s="1" t="s">
        <v>10</v>
      </c>
      <c r="C65" s="1" t="s">
        <v>8</v>
      </c>
      <c r="D65" s="1" t="s">
        <v>3</v>
      </c>
      <c r="E65" s="1" t="s">
        <v>426</v>
      </c>
      <c r="F65" s="2" t="str">
        <f>HYPERLINK("https://stat100.ameba.jp/tnk47/ratio20/illustrations/card/ill_84461_jimumyokyu01.jpg", "■")</f>
        <v>■</v>
      </c>
      <c r="G65" s="1" t="s">
        <v>500</v>
      </c>
      <c r="H65" s="1" t="s">
        <v>579</v>
      </c>
      <c r="I65" s="1" t="s">
        <v>515</v>
      </c>
      <c r="J65" s="1">
        <v>20</v>
      </c>
      <c r="K65" s="1">
        <v>34200</v>
      </c>
      <c r="L65" s="1">
        <v>38000</v>
      </c>
      <c r="M65" s="1" t="s">
        <v>425</v>
      </c>
      <c r="N65" s="1" t="s">
        <v>558</v>
      </c>
    </row>
    <row r="66" spans="1:14">
      <c r="A66" s="1">
        <v>81381</v>
      </c>
      <c r="B66" s="1" t="s">
        <v>10</v>
      </c>
      <c r="C66" s="1" t="s">
        <v>9</v>
      </c>
      <c r="D66" s="1" t="s">
        <v>301</v>
      </c>
      <c r="E66" s="1" t="s">
        <v>428</v>
      </c>
      <c r="F66" s="2" t="str">
        <f>HYPERLINK("https://stat100.ameba.jp/tnk47/ratio20/illustrations/card/ill_81381_hakatadontaku01.jpg", "■")</f>
        <v>■</v>
      </c>
      <c r="G66" s="1" t="s">
        <v>501</v>
      </c>
      <c r="I66" s="1" t="s">
        <v>515</v>
      </c>
      <c r="J66" s="1">
        <v>20</v>
      </c>
      <c r="K66" s="1">
        <v>38000</v>
      </c>
      <c r="L66" s="1">
        <v>34200</v>
      </c>
      <c r="M66" s="1" t="s">
        <v>427</v>
      </c>
      <c r="N66" s="1" t="s">
        <v>566</v>
      </c>
    </row>
    <row r="67" spans="1:14">
      <c r="A67" s="1">
        <v>82041</v>
      </c>
      <c r="B67" s="1" t="s">
        <v>10</v>
      </c>
      <c r="C67" s="1" t="s">
        <v>9</v>
      </c>
      <c r="D67" s="1" t="s">
        <v>3</v>
      </c>
      <c r="E67" s="1" t="s">
        <v>430</v>
      </c>
      <c r="F67" s="2" t="str">
        <f>HYPERLINK("https://stat100.ameba.jp/tnk47/ratio20/illustrations/card/ill_82041_biahorumomotofumiagari01.jpg", "■")</f>
        <v>■</v>
      </c>
      <c r="G67" s="1" t="s">
        <v>502</v>
      </c>
      <c r="I67" s="1" t="s">
        <v>515</v>
      </c>
      <c r="J67" s="1">
        <v>20</v>
      </c>
      <c r="K67" s="1">
        <v>34200</v>
      </c>
      <c r="L67" s="1">
        <v>38000</v>
      </c>
      <c r="M67" s="1" t="s">
        <v>429</v>
      </c>
      <c r="N67" s="1" t="s">
        <v>558</v>
      </c>
    </row>
    <row r="69" spans="1:14">
      <c r="A69" s="1" t="s">
        <v>374</v>
      </c>
    </row>
    <row r="70" spans="1:14">
      <c r="A70" s="1">
        <v>81441</v>
      </c>
      <c r="B70" s="1" t="s">
        <v>0</v>
      </c>
      <c r="C70" s="1" t="s">
        <v>1</v>
      </c>
      <c r="D70" s="1" t="s">
        <v>101</v>
      </c>
      <c r="E70" s="1" t="s">
        <v>368</v>
      </c>
      <c r="F70" s="2" t="str">
        <f>HYPERLINK("https://stat100.ameba.jp/tnk47/ratio20/illustrations/card/ill_81441_nininsankyakusakurambochan01.jpg", "■")</f>
        <v>■</v>
      </c>
      <c r="G70" s="1" t="s">
        <v>503</v>
      </c>
      <c r="I70" s="1" t="s">
        <v>529</v>
      </c>
      <c r="J70" s="1">
        <v>20</v>
      </c>
      <c r="K70" s="1">
        <v>26600</v>
      </c>
      <c r="L70" s="1">
        <v>22400</v>
      </c>
      <c r="M70" s="1" t="s">
        <v>367</v>
      </c>
      <c r="N70" s="1" t="s">
        <v>366</v>
      </c>
    </row>
    <row r="71" spans="1:14">
      <c r="A71" s="1">
        <v>83231</v>
      </c>
      <c r="B71" s="1" t="s">
        <v>0</v>
      </c>
      <c r="C71" s="1" t="s">
        <v>1</v>
      </c>
      <c r="D71" s="1" t="s">
        <v>301</v>
      </c>
      <c r="E71" s="1" t="s">
        <v>378</v>
      </c>
      <c r="F71" s="2" t="str">
        <f>HYPERLINK("https://stat100.ameba.jp/tnk47/ratio20/illustrations/card/ill_83231_asakawanohanabichan01.jpg", "■")</f>
        <v>■</v>
      </c>
      <c r="G71" s="1" t="s">
        <v>504</v>
      </c>
      <c r="I71" s="1" t="s">
        <v>529</v>
      </c>
      <c r="J71" s="1">
        <v>20</v>
      </c>
      <c r="K71" s="1">
        <v>22400</v>
      </c>
      <c r="L71" s="1">
        <v>26600</v>
      </c>
      <c r="M71" s="1" t="s">
        <v>377</v>
      </c>
      <c r="N71" s="1" t="s">
        <v>376</v>
      </c>
    </row>
    <row r="72" spans="1:14">
      <c r="A72" s="1">
        <v>80961</v>
      </c>
      <c r="B72" s="1" t="s">
        <v>0</v>
      </c>
      <c r="C72" s="1" t="s">
        <v>4</v>
      </c>
      <c r="D72" s="1" t="s">
        <v>5</v>
      </c>
      <c r="E72" s="1" t="s">
        <v>381</v>
      </c>
      <c r="F72" s="2" t="str">
        <f>HYPERLINK("https://stat100.ameba.jp/tnk47/ratio20/illustrations/card/ill_80961_resukyuiinaomasa01.jpg", "■")</f>
        <v>■</v>
      </c>
      <c r="G72" s="1" t="s">
        <v>505</v>
      </c>
      <c r="I72" s="1" t="s">
        <v>515</v>
      </c>
      <c r="J72" s="1">
        <v>20</v>
      </c>
      <c r="K72" s="1">
        <v>26600</v>
      </c>
      <c r="L72" s="1">
        <v>22400</v>
      </c>
      <c r="M72" s="1" t="s">
        <v>380</v>
      </c>
      <c r="N72" s="1" t="s">
        <v>379</v>
      </c>
    </row>
    <row r="73" spans="1:14">
      <c r="A73" s="1">
        <v>81391</v>
      </c>
      <c r="B73" s="1" t="s">
        <v>0</v>
      </c>
      <c r="C73" s="1" t="s">
        <v>4</v>
      </c>
      <c r="D73" s="1" t="s">
        <v>3</v>
      </c>
      <c r="E73" s="1" t="s">
        <v>384</v>
      </c>
      <c r="F73" s="2" t="str">
        <f>HYPERLINK("https://stat100.ameba.jp/tnk47/ratio20/illustrations/card/ill_81391_zenhanshiromatsuriohisanokata01.jpg", "■")</f>
        <v>■</v>
      </c>
      <c r="G73" s="1" t="s">
        <v>514</v>
      </c>
      <c r="H73" s="1" t="s">
        <v>310</v>
      </c>
      <c r="I73" s="1" t="s">
        <v>528</v>
      </c>
      <c r="J73" s="1">
        <v>20</v>
      </c>
      <c r="K73" s="1">
        <v>22400</v>
      </c>
      <c r="L73" s="1">
        <v>26600</v>
      </c>
      <c r="M73" s="1" t="s">
        <v>383</v>
      </c>
      <c r="N73" s="1" t="s">
        <v>382</v>
      </c>
    </row>
    <row r="74" spans="1:14">
      <c r="A74" s="1">
        <v>83371</v>
      </c>
      <c r="B74" s="1" t="s">
        <v>0</v>
      </c>
      <c r="C74" s="1" t="s">
        <v>6</v>
      </c>
      <c r="D74" s="1" t="s">
        <v>302</v>
      </c>
      <c r="E74" s="1" t="s">
        <v>387</v>
      </c>
      <c r="F74" s="2" t="str">
        <f>HYPERLINK("https://stat100.ameba.jp/tnk47/ratio20/illustrations/card/ill_83371_mokutommochizukichiyome01.jpg", "■")</f>
        <v>■</v>
      </c>
      <c r="G74" s="1" t="s">
        <v>506</v>
      </c>
      <c r="I74" s="1" t="s">
        <v>529</v>
      </c>
      <c r="J74" s="1">
        <v>20</v>
      </c>
      <c r="K74" s="1">
        <v>26600</v>
      </c>
      <c r="L74" s="1">
        <v>22400</v>
      </c>
      <c r="M74" s="1" t="s">
        <v>386</v>
      </c>
      <c r="N74" s="1" t="s">
        <v>385</v>
      </c>
    </row>
    <row r="75" spans="1:14">
      <c r="A75" s="1">
        <v>85341</v>
      </c>
      <c r="B75" s="1" t="s">
        <v>0</v>
      </c>
      <c r="C75" s="1" t="s">
        <v>6</v>
      </c>
      <c r="D75" s="1" t="s">
        <v>101</v>
      </c>
      <c r="E75" s="1" t="s">
        <v>390</v>
      </c>
      <c r="F75" s="2" t="str">
        <f>HYPERLINK("https://stat100.ameba.jp/tnk47/ratio20/illustrations/card/ill_85341_dobutsumomochan01.jpg", "■")</f>
        <v>■</v>
      </c>
      <c r="G75" s="1" t="s">
        <v>507</v>
      </c>
      <c r="H75" s="1" t="s">
        <v>310</v>
      </c>
      <c r="I75" s="1" t="s">
        <v>515</v>
      </c>
      <c r="J75" s="1">
        <v>20</v>
      </c>
      <c r="K75" s="1">
        <v>22400</v>
      </c>
      <c r="L75" s="1">
        <v>26600</v>
      </c>
      <c r="M75" s="1" t="s">
        <v>389</v>
      </c>
      <c r="N75" s="1" t="s">
        <v>388</v>
      </c>
    </row>
    <row r="76" spans="1:14">
      <c r="A76" s="1">
        <v>76581</v>
      </c>
      <c r="B76" s="1" t="s">
        <v>0</v>
      </c>
      <c r="C76" s="1" t="s">
        <v>7</v>
      </c>
      <c r="D76" s="1" t="s">
        <v>158</v>
      </c>
      <c r="E76" s="1" t="s">
        <v>393</v>
      </c>
      <c r="F76" s="2" t="str">
        <f>HYPERLINK("https://stat100.ameba.jp/tnk47/ratio20/illustrations/card/ill_76581_banshu_okiku01.jpg", "■")</f>
        <v>■</v>
      </c>
      <c r="G76" s="1" t="s">
        <v>508</v>
      </c>
      <c r="I76" s="1" t="s">
        <v>529</v>
      </c>
      <c r="J76" s="1">
        <v>20</v>
      </c>
      <c r="K76" s="1">
        <v>26600</v>
      </c>
      <c r="L76" s="1">
        <v>22400</v>
      </c>
      <c r="M76" s="1" t="s">
        <v>392</v>
      </c>
      <c r="N76" s="1" t="s">
        <v>391</v>
      </c>
    </row>
    <row r="77" spans="1:14">
      <c r="A77" s="1">
        <v>85201</v>
      </c>
      <c r="B77" s="1" t="s">
        <v>0</v>
      </c>
      <c r="C77" s="1" t="s">
        <v>7</v>
      </c>
      <c r="D77" s="1" t="s">
        <v>301</v>
      </c>
      <c r="E77" s="1" t="s">
        <v>395</v>
      </c>
      <c r="F77" s="2" t="str">
        <f>HYPERLINK("https://stat100.ameba.jp/tnk47/ratio20/illustrations/card/ill_85201_kyobijin01.jpg", "■")</f>
        <v>■</v>
      </c>
      <c r="G77" s="1" t="s">
        <v>509</v>
      </c>
      <c r="I77" s="1" t="s">
        <v>534</v>
      </c>
      <c r="J77" s="1">
        <v>20</v>
      </c>
      <c r="K77" s="1">
        <v>22400</v>
      </c>
      <c r="L77" s="1">
        <v>26600</v>
      </c>
      <c r="M77" s="1" t="s">
        <v>394</v>
      </c>
      <c r="N77" s="1" t="s">
        <v>376</v>
      </c>
    </row>
    <row r="78" spans="1:14">
      <c r="A78" s="1">
        <v>84611</v>
      </c>
      <c r="B78" s="1" t="s">
        <v>0</v>
      </c>
      <c r="C78" s="1" t="s">
        <v>8</v>
      </c>
      <c r="D78" s="1" t="s">
        <v>158</v>
      </c>
      <c r="E78" s="1" t="s">
        <v>397</v>
      </c>
      <c r="F78" s="2" t="str">
        <f>HYPERLINK("https://stat100.ameba.jp/tnk47/ratio20/illustrations/card/ill_84611_yoshomomotaro01.jpg", "■")</f>
        <v>■</v>
      </c>
      <c r="G78" s="1" t="s">
        <v>510</v>
      </c>
      <c r="I78" s="1" t="s">
        <v>529</v>
      </c>
      <c r="J78" s="1">
        <v>20</v>
      </c>
      <c r="K78" s="1">
        <v>26600</v>
      </c>
      <c r="L78" s="1">
        <v>22400</v>
      </c>
      <c r="M78" s="1" t="s">
        <v>396</v>
      </c>
      <c r="N78" s="1" t="s">
        <v>391</v>
      </c>
    </row>
    <row r="79" spans="1:14">
      <c r="A79" s="1">
        <v>81511</v>
      </c>
      <c r="B79" s="1" t="s">
        <v>0</v>
      </c>
      <c r="C79" s="1" t="s">
        <v>8</v>
      </c>
      <c r="D79" s="1" t="s">
        <v>5</v>
      </c>
      <c r="E79" s="1" t="s">
        <v>400</v>
      </c>
      <c r="F79" s="2" t="str">
        <f>HYPERLINK("https://stat100.ameba.jp/tnk47/ratio20/illustrations/card/ill_81511_buampaiaakiyamasaneyuki01.jpg", "■")</f>
        <v>■</v>
      </c>
      <c r="G79" s="1" t="s">
        <v>511</v>
      </c>
      <c r="I79" s="1" t="s">
        <v>515</v>
      </c>
      <c r="J79" s="1">
        <v>20</v>
      </c>
      <c r="K79" s="1">
        <v>22400</v>
      </c>
      <c r="L79" s="1">
        <v>26600</v>
      </c>
      <c r="M79" s="1" t="s">
        <v>399</v>
      </c>
      <c r="N79" s="1" t="s">
        <v>398</v>
      </c>
    </row>
    <row r="80" spans="1:14">
      <c r="A80" s="1">
        <v>84471</v>
      </c>
      <c r="B80" s="1" t="s">
        <v>0</v>
      </c>
      <c r="C80" s="1" t="s">
        <v>9</v>
      </c>
      <c r="D80" s="1" t="s">
        <v>300</v>
      </c>
      <c r="E80" s="1" t="s">
        <v>403</v>
      </c>
      <c r="F80" s="2" t="str">
        <f>HYPERLINK("https://stat100.ameba.jp/tnk47/ratio20/illustrations/card/ill_84471_kintoreshiranui01.jpg", "■")</f>
        <v>■</v>
      </c>
      <c r="G80" s="1" t="s">
        <v>512</v>
      </c>
      <c r="I80" s="1" t="s">
        <v>515</v>
      </c>
      <c r="J80" s="1">
        <v>20</v>
      </c>
      <c r="K80" s="1">
        <v>26600</v>
      </c>
      <c r="L80" s="1">
        <v>22400</v>
      </c>
      <c r="M80" s="1" t="s">
        <v>402</v>
      </c>
      <c r="N80" s="1" t="s">
        <v>401</v>
      </c>
    </row>
    <row r="81" spans="1:14">
      <c r="A81" s="1">
        <v>82151</v>
      </c>
      <c r="B81" s="1" t="s">
        <v>0</v>
      </c>
      <c r="C81" s="1" t="s">
        <v>9</v>
      </c>
      <c r="D81" s="1" t="s">
        <v>101</v>
      </c>
      <c r="E81" s="1" t="s">
        <v>405</v>
      </c>
      <c r="F81" s="2" t="str">
        <f>HYPERLINK("https://stat100.ameba.jp/tnk47/ratio20/illustrations/card/ill_82151_shirokumachan01.jpg", "■")</f>
        <v>■</v>
      </c>
      <c r="G81" s="1" t="s">
        <v>513</v>
      </c>
      <c r="I81" s="1" t="s">
        <v>529</v>
      </c>
      <c r="J81" s="1">
        <v>20</v>
      </c>
      <c r="K81" s="1">
        <v>22400</v>
      </c>
      <c r="L81" s="1">
        <v>26600</v>
      </c>
      <c r="M81" s="1" t="s">
        <v>404</v>
      </c>
      <c r="N81" s="1" t="s">
        <v>388</v>
      </c>
    </row>
    <row r="83" spans="1:14">
      <c r="A83" s="1" t="s">
        <v>375</v>
      </c>
    </row>
    <row r="84" spans="1:14">
      <c r="A84" s="1">
        <v>85351</v>
      </c>
      <c r="B84" s="1" t="s">
        <v>26</v>
      </c>
      <c r="C84" s="1" t="s">
        <v>325</v>
      </c>
      <c r="D84" s="1" t="s">
        <v>300</v>
      </c>
      <c r="E84" s="1" t="s">
        <v>324</v>
      </c>
      <c r="F84" s="2" t="str">
        <f>HYPERLINK("https://stat100.ameba.jp/tnk47/ratio20/illustrations/card/ill_85351_kamaitachi01.jpg", "■")</f>
        <v>■</v>
      </c>
      <c r="G84" s="1" t="s">
        <v>516</v>
      </c>
      <c r="H84" s="1" t="s">
        <v>580</v>
      </c>
      <c r="I84" s="1" t="s">
        <v>530</v>
      </c>
      <c r="J84" s="1">
        <v>15</v>
      </c>
      <c r="K84" s="1">
        <v>12300</v>
      </c>
      <c r="L84" s="1">
        <v>10200</v>
      </c>
      <c r="M84" s="1" t="s">
        <v>323</v>
      </c>
      <c r="N84" s="1" t="s">
        <v>322</v>
      </c>
    </row>
    <row r="85" spans="1:14">
      <c r="A85" s="1">
        <v>85211</v>
      </c>
      <c r="B85" s="1" t="s">
        <v>26</v>
      </c>
      <c r="C85" s="1" t="s">
        <v>329</v>
      </c>
      <c r="D85" s="1" t="s">
        <v>302</v>
      </c>
      <c r="E85" s="1" t="s">
        <v>328</v>
      </c>
      <c r="F85" s="2" t="str">
        <f>HYPERLINK("https://stat100.ameba.jp/tnk47/ratio20/illustrations/card/ill_85211_jakurenhoshi01.jpg", "■")</f>
        <v>■</v>
      </c>
      <c r="G85" s="1" t="s">
        <v>517</v>
      </c>
      <c r="H85" s="1" t="s">
        <v>580</v>
      </c>
      <c r="I85" s="1" t="s">
        <v>515</v>
      </c>
      <c r="J85" s="1">
        <v>15</v>
      </c>
      <c r="K85" s="1">
        <v>12300</v>
      </c>
      <c r="L85" s="1">
        <v>10200</v>
      </c>
      <c r="M85" s="1" t="s">
        <v>327</v>
      </c>
      <c r="N85" s="1" t="s">
        <v>326</v>
      </c>
    </row>
    <row r="86" spans="1:14">
      <c r="A86" s="1">
        <v>85151</v>
      </c>
      <c r="B86" s="1" t="s">
        <v>26</v>
      </c>
      <c r="C86" s="1" t="s">
        <v>333</v>
      </c>
      <c r="D86" s="1" t="s">
        <v>301</v>
      </c>
      <c r="E86" s="1" t="s">
        <v>332</v>
      </c>
      <c r="F86" s="2" t="str">
        <f>HYPERLINK("https://stat100.ameba.jp/tnk47/ratio20/illustrations/card/ill_85151_seiogakuenkumanofudechan01.jpg", "■")</f>
        <v>■</v>
      </c>
      <c r="G86" s="1" t="s">
        <v>518</v>
      </c>
      <c r="H86" s="1" t="s">
        <v>581</v>
      </c>
      <c r="I86" s="1" t="s">
        <v>515</v>
      </c>
      <c r="J86" s="1">
        <v>15</v>
      </c>
      <c r="K86" s="1">
        <v>12300</v>
      </c>
      <c r="L86" s="1">
        <v>10200</v>
      </c>
      <c r="M86" s="1" t="s">
        <v>331</v>
      </c>
      <c r="N86" s="1" t="s">
        <v>330</v>
      </c>
    </row>
    <row r="87" spans="1:14">
      <c r="A87" s="1">
        <v>83771</v>
      </c>
      <c r="B87" s="1" t="s">
        <v>26</v>
      </c>
      <c r="C87" s="1" t="s">
        <v>325</v>
      </c>
      <c r="D87" s="1" t="s">
        <v>101</v>
      </c>
      <c r="E87" s="1" t="s">
        <v>336</v>
      </c>
      <c r="F87" s="2" t="str">
        <f>HYPERLINK("https://stat100.ameba.jp/tnk47/ratio20/illustrations/card/ill_83771_otsukimidangochan01.jpg", "■")</f>
        <v>■</v>
      </c>
      <c r="G87" s="1" t="s">
        <v>519</v>
      </c>
      <c r="I87" s="1" t="s">
        <v>529</v>
      </c>
      <c r="J87" s="1">
        <v>15</v>
      </c>
      <c r="K87" s="1">
        <v>12300</v>
      </c>
      <c r="L87" s="1">
        <v>10200</v>
      </c>
      <c r="M87" s="1" t="s">
        <v>335</v>
      </c>
      <c r="N87" s="1" t="s">
        <v>334</v>
      </c>
    </row>
    <row r="88" spans="1:14">
      <c r="A88" s="1">
        <v>83241</v>
      </c>
      <c r="B88" s="1" t="s">
        <v>26</v>
      </c>
      <c r="C88" s="1" t="s">
        <v>340</v>
      </c>
      <c r="D88" s="1" t="s">
        <v>5</v>
      </c>
      <c r="E88" s="1" t="s">
        <v>339</v>
      </c>
      <c r="F88" s="2" t="str">
        <f>HYPERLINK("https://stat100.ameba.jp/tnk47/ratio20/illustrations/card/ill_83241_otokomatsuritakigawaichimasu01.jpg", "■")</f>
        <v>■</v>
      </c>
      <c r="G88" s="1" t="s">
        <v>520</v>
      </c>
      <c r="H88" s="1" t="s">
        <v>580</v>
      </c>
      <c r="I88" s="1" t="s">
        <v>531</v>
      </c>
      <c r="J88" s="1">
        <v>15</v>
      </c>
      <c r="K88" s="1">
        <v>12300</v>
      </c>
      <c r="L88" s="1">
        <v>10200</v>
      </c>
      <c r="M88" s="1" t="s">
        <v>338</v>
      </c>
      <c r="N88" s="1" t="s">
        <v>337</v>
      </c>
    </row>
    <row r="89" spans="1:14">
      <c r="A89" s="1">
        <v>82641</v>
      </c>
      <c r="B89" s="1" t="s">
        <v>26</v>
      </c>
      <c r="C89" s="1" t="s">
        <v>344</v>
      </c>
      <c r="D89" s="1" t="s">
        <v>101</v>
      </c>
      <c r="E89" s="1" t="s">
        <v>343</v>
      </c>
      <c r="F89" s="2" t="str">
        <f>HYPERLINK("https://stat100.ameba.jp/tnk47/ratio20/illustrations/card/ill_82641_painkurepu01.jpg", "■")</f>
        <v>■</v>
      </c>
      <c r="G89" s="1" t="s">
        <v>521</v>
      </c>
      <c r="I89" s="1" t="s">
        <v>529</v>
      </c>
      <c r="J89" s="1">
        <v>15</v>
      </c>
      <c r="K89" s="1">
        <v>12300</v>
      </c>
      <c r="L89" s="1">
        <v>10200</v>
      </c>
      <c r="M89" s="1" t="s">
        <v>342</v>
      </c>
      <c r="N89" s="1" t="s">
        <v>341</v>
      </c>
    </row>
    <row r="90" spans="1:14">
      <c r="A90" s="1">
        <v>82061</v>
      </c>
      <c r="B90" s="1" t="s">
        <v>26</v>
      </c>
      <c r="C90" s="1" t="s">
        <v>45</v>
      </c>
      <c r="D90" s="1" t="s">
        <v>302</v>
      </c>
      <c r="E90" s="1" t="s">
        <v>347</v>
      </c>
      <c r="F90" s="2" t="str">
        <f>HYPERLINK("https://stat100.ameba.jp/tnk47/ratio20/illustrations/card/ill_82061_kareinarukishi01.jpg", "■")</f>
        <v>■</v>
      </c>
      <c r="G90" s="1" t="s">
        <v>522</v>
      </c>
      <c r="I90" s="1" t="s">
        <v>529</v>
      </c>
      <c r="J90" s="1">
        <v>15</v>
      </c>
      <c r="K90" s="1">
        <v>10200</v>
      </c>
      <c r="L90" s="1">
        <v>12300</v>
      </c>
      <c r="M90" s="1" t="s">
        <v>346</v>
      </c>
      <c r="N90" s="1" t="s">
        <v>345</v>
      </c>
    </row>
    <row r="91" spans="1:14">
      <c r="A91" s="1">
        <v>82011</v>
      </c>
      <c r="B91" s="1" t="s">
        <v>26</v>
      </c>
      <c r="C91" s="1" t="s">
        <v>351</v>
      </c>
      <c r="D91" s="1" t="s">
        <v>158</v>
      </c>
      <c r="E91" s="1" t="s">
        <v>350</v>
      </c>
      <c r="F91" s="2" t="str">
        <f>HYPERLINK("https://stat100.ameba.jp/tnk47/ratio20/illustrations/card/ill_82011_asagi01.jpg", "■")</f>
        <v>■</v>
      </c>
      <c r="G91" s="1" t="s">
        <v>523</v>
      </c>
      <c r="I91" s="1" t="s">
        <v>529</v>
      </c>
      <c r="J91" s="1">
        <v>15</v>
      </c>
      <c r="K91" s="1">
        <v>10200</v>
      </c>
      <c r="L91" s="1">
        <v>12300</v>
      </c>
      <c r="M91" s="1" t="s">
        <v>349</v>
      </c>
      <c r="N91" s="1" t="s">
        <v>348</v>
      </c>
    </row>
    <row r="92" spans="1:14">
      <c r="A92" s="1">
        <v>82691</v>
      </c>
      <c r="B92" s="1" t="s">
        <v>26</v>
      </c>
      <c r="C92" s="1" t="s">
        <v>355</v>
      </c>
      <c r="D92" s="1" t="s">
        <v>101</v>
      </c>
      <c r="E92" s="1" t="s">
        <v>354</v>
      </c>
      <c r="F92" s="2" t="str">
        <f>HYPERLINK("https://stat100.ameba.jp/tnk47/ratio20/illustrations/card/ill_82691_wakasagi01.jpg", "■")</f>
        <v>■</v>
      </c>
      <c r="G92" s="1" t="s">
        <v>524</v>
      </c>
      <c r="H92" s="1" t="s">
        <v>580</v>
      </c>
      <c r="I92" s="1" t="s">
        <v>515</v>
      </c>
      <c r="J92" s="1">
        <v>15</v>
      </c>
      <c r="K92" s="1">
        <v>10200</v>
      </c>
      <c r="L92" s="1">
        <v>12300</v>
      </c>
      <c r="M92" s="1" t="s">
        <v>353</v>
      </c>
      <c r="N92" s="1" t="s">
        <v>352</v>
      </c>
    </row>
    <row r="93" spans="1:14">
      <c r="A93" s="1">
        <v>83381</v>
      </c>
      <c r="B93" s="1" t="s">
        <v>26</v>
      </c>
      <c r="C93" s="1" t="s">
        <v>325</v>
      </c>
      <c r="D93" s="1" t="s">
        <v>301</v>
      </c>
      <c r="E93" s="1" t="s">
        <v>358</v>
      </c>
      <c r="F93" s="2" t="str">
        <f>HYPERLINK("https://stat100.ameba.jp/tnk47/ratio20/illustrations/card/ill_83381_otoshiana01.jpg", "■")</f>
        <v>■</v>
      </c>
      <c r="G93" s="1" t="s">
        <v>525</v>
      </c>
      <c r="I93" s="1" t="s">
        <v>529</v>
      </c>
      <c r="J93" s="1">
        <v>15</v>
      </c>
      <c r="K93" s="1">
        <v>10200</v>
      </c>
      <c r="L93" s="1">
        <v>12300</v>
      </c>
      <c r="M93" s="1" t="s">
        <v>357</v>
      </c>
      <c r="N93" s="1" t="s">
        <v>356</v>
      </c>
    </row>
    <row r="94" spans="1:14">
      <c r="A94" s="1">
        <v>84621</v>
      </c>
      <c r="B94" s="1" t="s">
        <v>26</v>
      </c>
      <c r="C94" s="1" t="s">
        <v>362</v>
      </c>
      <c r="D94" s="1" t="s">
        <v>301</v>
      </c>
      <c r="E94" s="1" t="s">
        <v>361</v>
      </c>
      <c r="F94" s="2" t="str">
        <f>HYPERLINK("https://stat100.ameba.jp/tnk47/ratio20/illustrations/card/ill_84621_sarubobo01.jpg", "■")</f>
        <v>■</v>
      </c>
      <c r="G94" s="1" t="s">
        <v>526</v>
      </c>
      <c r="I94" s="1" t="s">
        <v>529</v>
      </c>
      <c r="J94" s="1">
        <v>15</v>
      </c>
      <c r="K94" s="1">
        <v>10200</v>
      </c>
      <c r="L94" s="1">
        <v>12300</v>
      </c>
      <c r="M94" s="1" t="s">
        <v>360</v>
      </c>
      <c r="N94" s="1" t="s">
        <v>359</v>
      </c>
    </row>
    <row r="95" spans="1:14">
      <c r="A95" s="1">
        <v>84481</v>
      </c>
      <c r="B95" s="1" t="s">
        <v>26</v>
      </c>
      <c r="C95" s="1" t="s">
        <v>325</v>
      </c>
      <c r="D95" s="1" t="s">
        <v>158</v>
      </c>
      <c r="E95" s="1" t="s">
        <v>365</v>
      </c>
      <c r="F95" s="2" t="str">
        <f>HYPERLINK("https://stat100.ameba.jp/tnk47/ratio20/illustrations/card/ill_84481_merosu01.jpg", "■")</f>
        <v>■</v>
      </c>
      <c r="G95" s="1" t="s">
        <v>527</v>
      </c>
      <c r="H95" s="1" t="s">
        <v>580</v>
      </c>
      <c r="I95" s="1" t="s">
        <v>515</v>
      </c>
      <c r="J95" s="1">
        <v>15</v>
      </c>
      <c r="K95" s="1">
        <v>10200</v>
      </c>
      <c r="L95" s="1">
        <v>12300</v>
      </c>
      <c r="M95" s="1" t="s">
        <v>364</v>
      </c>
      <c r="N95" s="1" t="s">
        <v>363</v>
      </c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611B-3A15-4B56-B54A-61F5112D07DF}">
  <dimension ref="A1:O19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7.5" style="1" customWidth="1"/>
    <col min="2" max="2" width="3.9140625" style="1" customWidth="1"/>
    <col min="3" max="3" width="12.33203125" style="1" customWidth="1"/>
    <col min="4" max="4" width="5.4140625" style="1" customWidth="1"/>
    <col min="5" max="5" width="30.9140625" style="1" customWidth="1"/>
    <col min="6" max="6" width="3.75" style="1" customWidth="1"/>
    <col min="7" max="7" width="30.9140625" style="1" customWidth="1"/>
    <col min="8" max="8" width="12.9140625" style="1" customWidth="1"/>
    <col min="9" max="9" width="17.33203125" style="1" customWidth="1"/>
    <col min="10" max="10" width="3.9140625" style="1" customWidth="1"/>
    <col min="11" max="12" width="7.08203125" style="1" customWidth="1"/>
    <col min="13" max="13" width="31" style="1" customWidth="1"/>
    <col min="14" max="14" width="70.9140625" style="1" customWidth="1"/>
    <col min="15" max="15" width="25.9140625" style="1" customWidth="1"/>
    <col min="16" max="16384" width="8.9140625" style="1"/>
  </cols>
  <sheetData>
    <row r="1" spans="1:15">
      <c r="A1" s="3" t="s">
        <v>126</v>
      </c>
      <c r="B1" s="3" t="s">
        <v>21</v>
      </c>
      <c r="C1" s="3" t="s">
        <v>13</v>
      </c>
      <c r="D1" s="4" t="s">
        <v>14</v>
      </c>
      <c r="E1" s="4" t="s">
        <v>15</v>
      </c>
      <c r="F1" s="4" t="s">
        <v>209</v>
      </c>
      <c r="G1" s="4" t="s">
        <v>153</v>
      </c>
      <c r="H1" s="4" t="s">
        <v>156</v>
      </c>
      <c r="I1" s="4" t="s">
        <v>16</v>
      </c>
      <c r="J1" s="4" t="s">
        <v>17</v>
      </c>
      <c r="K1" s="4" t="s">
        <v>155</v>
      </c>
      <c r="L1" s="4" t="s">
        <v>154</v>
      </c>
      <c r="M1" s="4" t="s">
        <v>18</v>
      </c>
      <c r="N1" s="4" t="s">
        <v>248</v>
      </c>
      <c r="O1" s="4" t="s">
        <v>250</v>
      </c>
    </row>
    <row r="2" spans="1:15">
      <c r="E2" s="2"/>
      <c r="F2" s="2"/>
    </row>
    <row r="3" spans="1:15">
      <c r="B3" s="1" t="s">
        <v>23</v>
      </c>
      <c r="E3" s="5"/>
      <c r="F3" s="2" t="str">
        <f>HYPERLINK("https://stat100.ameba.jp/tnk47/ratio20/illustrations/card/ill_.jpg", "■")</f>
        <v>■</v>
      </c>
      <c r="I3" s="1" t="s">
        <v>187</v>
      </c>
      <c r="J3" s="1">
        <v>14</v>
      </c>
    </row>
    <row r="4" spans="1:15">
      <c r="B4" s="1" t="s">
        <v>10</v>
      </c>
      <c r="E4" s="5"/>
      <c r="F4" s="2" t="str">
        <f>HYPERLINK("https://stat100.ameba.jp/tnk47/ratio20/illustrations/card/ill_.jpg", "■")</f>
        <v>■</v>
      </c>
      <c r="J4" s="1">
        <v>8</v>
      </c>
    </row>
    <row r="5" spans="1:15">
      <c r="B5" s="1" t="s">
        <v>0</v>
      </c>
      <c r="E5" s="5"/>
      <c r="F5" s="2" t="str">
        <f>HYPERLINK("https://stat100.ameba.jp/tnk47/ratio20/illustrations/card/ill_.jpg", "■")</f>
        <v>■</v>
      </c>
      <c r="H5" s="1" t="s">
        <v>12</v>
      </c>
      <c r="I5" s="1" t="s">
        <v>61</v>
      </c>
      <c r="J5" s="1">
        <v>9</v>
      </c>
    </row>
    <row r="6" spans="1:15">
      <c r="E6" s="2"/>
      <c r="F6" s="2"/>
    </row>
    <row r="7" spans="1:15">
      <c r="A7" s="1">
        <v>27373</v>
      </c>
      <c r="B7" s="1" t="s">
        <v>0</v>
      </c>
      <c r="C7" s="1" t="s">
        <v>1</v>
      </c>
      <c r="D7" s="1" t="s">
        <v>19</v>
      </c>
      <c r="E7" s="5" t="s">
        <v>213</v>
      </c>
      <c r="F7" s="2" t="str">
        <f>HYPERLINK("https://stat100.ameba.jp/tnk47/ratio20/illustrations/card/ill_27373_bakumatsujoketsuniijimayae03.jpg", "■")</f>
        <v>■</v>
      </c>
      <c r="G7" s="1" t="s">
        <v>60</v>
      </c>
      <c r="H7" s="1" t="s">
        <v>69</v>
      </c>
      <c r="I7" s="1" t="s">
        <v>282</v>
      </c>
      <c r="J7" s="1">
        <v>9</v>
      </c>
      <c r="K7" s="1">
        <v>14079</v>
      </c>
      <c r="L7" s="1">
        <v>18270</v>
      </c>
      <c r="M7" s="1" t="s">
        <v>29</v>
      </c>
      <c r="N7" s="1" t="s">
        <v>30</v>
      </c>
    </row>
    <row r="8" spans="1:15">
      <c r="A8" s="1">
        <v>23533</v>
      </c>
      <c r="B8" s="1" t="s">
        <v>0</v>
      </c>
      <c r="C8" s="1" t="s">
        <v>1</v>
      </c>
      <c r="D8" s="1" t="s">
        <v>11</v>
      </c>
      <c r="E8" s="5" t="s">
        <v>214</v>
      </c>
      <c r="F8" s="2" t="str">
        <f>HYPERLINK("https://stat100.ameba.jp/tnk47/ratio20/illustrations/card/ill_23533_fuyunojinseishinni03.jpg", "■")</f>
        <v>■</v>
      </c>
      <c r="G8" s="1" t="s">
        <v>59</v>
      </c>
      <c r="I8" s="1" t="s">
        <v>281</v>
      </c>
      <c r="J8" s="1">
        <v>9</v>
      </c>
      <c r="K8" s="1">
        <v>17053</v>
      </c>
      <c r="L8" s="1">
        <v>15130</v>
      </c>
      <c r="M8" s="1" t="s">
        <v>31</v>
      </c>
      <c r="N8" s="1" t="s">
        <v>32</v>
      </c>
    </row>
    <row r="9" spans="1:15">
      <c r="A9" s="1">
        <v>21493</v>
      </c>
      <c r="B9" s="1" t="s">
        <v>0</v>
      </c>
      <c r="C9" s="1" t="s">
        <v>4</v>
      </c>
      <c r="D9" s="1" t="s">
        <v>20</v>
      </c>
      <c r="E9" s="5" t="s">
        <v>215</v>
      </c>
      <c r="F9" s="2" t="str">
        <f>HYPERLINK("https://stat100.ameba.jp/tnk47/ratio20/illustrations/card/ill_21493_fuyunojintokugawahidetada03.jpg", "■")</f>
        <v>■</v>
      </c>
      <c r="G9" s="1" t="s">
        <v>58</v>
      </c>
      <c r="I9" s="1" t="s">
        <v>281</v>
      </c>
      <c r="J9" s="1">
        <v>9</v>
      </c>
      <c r="K9" s="1">
        <v>15130</v>
      </c>
      <c r="L9" s="1">
        <v>17053</v>
      </c>
      <c r="M9" s="1" t="s">
        <v>33</v>
      </c>
      <c r="N9" s="1" t="s">
        <v>34</v>
      </c>
    </row>
    <row r="10" spans="1:15">
      <c r="A10" s="1">
        <v>21503</v>
      </c>
      <c r="B10" s="1" t="s">
        <v>0</v>
      </c>
      <c r="C10" s="1" t="s">
        <v>6</v>
      </c>
      <c r="D10" s="1" t="s">
        <v>11</v>
      </c>
      <c r="E10" s="5" t="s">
        <v>216</v>
      </c>
      <c r="F10" s="2" t="str">
        <f>HYPERLINK("https://stat100.ameba.jp/tnk47/ratio20/illustrations/card/ill_21503_fuyunojintensuin03.jpg", "■")</f>
        <v>■</v>
      </c>
      <c r="G10" s="1" t="s">
        <v>57</v>
      </c>
      <c r="I10" s="1" t="s">
        <v>281</v>
      </c>
      <c r="J10" s="1">
        <v>9</v>
      </c>
      <c r="K10" s="1">
        <v>18270</v>
      </c>
      <c r="L10" s="1">
        <v>14079</v>
      </c>
      <c r="M10" s="1" t="s">
        <v>35</v>
      </c>
      <c r="N10" s="1" t="s">
        <v>36</v>
      </c>
    </row>
    <row r="11" spans="1:15">
      <c r="A11" s="1">
        <v>28773</v>
      </c>
      <c r="B11" s="1" t="s">
        <v>0</v>
      </c>
      <c r="C11" s="1" t="s">
        <v>7</v>
      </c>
      <c r="D11" s="1" t="s">
        <v>19</v>
      </c>
      <c r="E11" s="5" t="s">
        <v>217</v>
      </c>
      <c r="F11" s="2" t="str">
        <f>HYPERLINK("https://stat100.ameba.jp/tnk47/ratio20/illustrations/card/ill_28773_sanjosanetomi03.jpg", "■")</f>
        <v>■</v>
      </c>
      <c r="G11" s="1" t="s">
        <v>64</v>
      </c>
      <c r="I11" s="1" t="s">
        <v>281</v>
      </c>
      <c r="J11" s="1">
        <v>9</v>
      </c>
      <c r="K11" s="1">
        <v>18270</v>
      </c>
      <c r="L11" s="1">
        <v>18270</v>
      </c>
      <c r="M11" s="1" t="s">
        <v>37</v>
      </c>
      <c r="N11" s="1" t="s">
        <v>38</v>
      </c>
    </row>
    <row r="12" spans="1:15">
      <c r="A12" s="1">
        <v>21443</v>
      </c>
      <c r="B12" s="1" t="s">
        <v>0</v>
      </c>
      <c r="C12" s="1" t="s">
        <v>7</v>
      </c>
      <c r="D12" s="1" t="s">
        <v>11</v>
      </c>
      <c r="E12" s="5" t="s">
        <v>218</v>
      </c>
      <c r="F12" s="2" t="str">
        <f>HYPERLINK("https://stat100.ameba.jp/tnk47/ratio20/illustrations/card/ill_21443_fuyunojinsenhime03.jpg", "■")</f>
        <v>■</v>
      </c>
      <c r="G12" s="1" t="s">
        <v>125</v>
      </c>
      <c r="I12" s="1" t="s">
        <v>281</v>
      </c>
      <c r="J12" s="1">
        <v>9</v>
      </c>
      <c r="K12" s="1">
        <v>15130</v>
      </c>
      <c r="L12" s="1">
        <v>17053</v>
      </c>
      <c r="M12" s="1" t="s">
        <v>39</v>
      </c>
      <c r="N12" s="1" t="s">
        <v>40</v>
      </c>
    </row>
    <row r="13" spans="1:15">
      <c r="A13" s="1">
        <v>20623</v>
      </c>
      <c r="B13" s="1" t="s">
        <v>0</v>
      </c>
      <c r="C13" s="1" t="s">
        <v>8</v>
      </c>
      <c r="D13" s="1" t="s">
        <v>20</v>
      </c>
      <c r="E13" s="5" t="s">
        <v>219</v>
      </c>
      <c r="F13" s="2" t="str">
        <f>HYPERLINK("https://stat100.ameba.jp/tnk47/ratio20/illustrations/card/ill_20623_fuyunojinakashitakenori03.jpg", "■")</f>
        <v>■</v>
      </c>
      <c r="G13" s="1" t="s">
        <v>149</v>
      </c>
      <c r="I13" s="1" t="s">
        <v>281</v>
      </c>
      <c r="J13" s="1">
        <v>9</v>
      </c>
      <c r="K13" s="1">
        <v>17053</v>
      </c>
      <c r="L13" s="1">
        <v>15130</v>
      </c>
      <c r="M13" s="1" t="s">
        <v>41</v>
      </c>
      <c r="N13" s="1" t="s">
        <v>42</v>
      </c>
    </row>
    <row r="14" spans="1:15">
      <c r="A14" s="1">
        <v>21433</v>
      </c>
      <c r="B14" s="1" t="s">
        <v>0</v>
      </c>
      <c r="C14" s="1" t="s">
        <v>9</v>
      </c>
      <c r="D14" s="1" t="s">
        <v>11</v>
      </c>
      <c r="E14" s="5" t="s">
        <v>220</v>
      </c>
      <c r="F14" s="2" t="str">
        <f>HYPERLINK("https://stat100.ameba.jp/tnk47/ratio20/illustrations/card/ill_21433_fuyunojinokurakyonotsubone03.jpg", "■")</f>
        <v>■</v>
      </c>
      <c r="G14" s="1" t="s">
        <v>151</v>
      </c>
      <c r="I14" s="1" t="s">
        <v>281</v>
      </c>
      <c r="J14" s="1">
        <v>9</v>
      </c>
      <c r="K14" s="1">
        <v>14079</v>
      </c>
      <c r="L14" s="1">
        <v>18270</v>
      </c>
      <c r="M14" s="1" t="s">
        <v>43</v>
      </c>
      <c r="N14" s="1" t="s">
        <v>44</v>
      </c>
    </row>
    <row r="15" spans="1:15">
      <c r="E15" s="2"/>
      <c r="F15" s="2"/>
    </row>
    <row r="16" spans="1:15">
      <c r="A16" s="1">
        <v>21513</v>
      </c>
      <c r="B16" s="1" t="s">
        <v>26</v>
      </c>
      <c r="C16" s="1" t="s">
        <v>45</v>
      </c>
      <c r="D16" s="1" t="s">
        <v>11</v>
      </c>
      <c r="E16" s="5" t="s">
        <v>221</v>
      </c>
      <c r="F16" s="2" t="str">
        <f>HYPERLINK("https://stat100.ameba.jp/tnk47/ratio20/illustrations/card/ill_21513_fuyunojinosennokata03.jpg", "■")</f>
        <v>■</v>
      </c>
      <c r="G16" s="1" t="s">
        <v>203</v>
      </c>
      <c r="I16" s="1" t="s">
        <v>281</v>
      </c>
      <c r="J16" s="1">
        <v>9</v>
      </c>
      <c r="K16" s="1">
        <v>9514</v>
      </c>
      <c r="L16" s="1">
        <v>11329</v>
      </c>
      <c r="M16" s="1" t="s">
        <v>46</v>
      </c>
      <c r="N16" s="1" t="s">
        <v>47</v>
      </c>
    </row>
    <row r="17" spans="1:14">
      <c r="A17" s="1">
        <v>20593</v>
      </c>
      <c r="B17" s="1" t="s">
        <v>26</v>
      </c>
      <c r="C17" s="1" t="s">
        <v>48</v>
      </c>
      <c r="D17" s="1" t="s">
        <v>11</v>
      </c>
      <c r="E17" s="5" t="s">
        <v>222</v>
      </c>
      <c r="F17" s="2" t="str">
        <f>HYPERLINK("https://stat100.ameba.jp/tnk47/ratio20/illustrations/card/ill_20593_fuyunojinachanotsubone03.jpg", "■")</f>
        <v>■</v>
      </c>
      <c r="G17" s="1" t="s">
        <v>202</v>
      </c>
      <c r="I17" s="1" t="s">
        <v>281</v>
      </c>
      <c r="J17" s="1">
        <v>9</v>
      </c>
      <c r="K17" s="1">
        <v>9514</v>
      </c>
      <c r="L17" s="1">
        <v>11329</v>
      </c>
      <c r="M17" s="1" t="s">
        <v>49</v>
      </c>
      <c r="N17" s="1" t="s">
        <v>50</v>
      </c>
    </row>
    <row r="18" spans="1:14">
      <c r="A18" s="1">
        <v>7483</v>
      </c>
      <c r="B18" s="1" t="s">
        <v>26</v>
      </c>
      <c r="C18" s="1" t="s">
        <v>51</v>
      </c>
      <c r="D18" s="1" t="s">
        <v>20</v>
      </c>
      <c r="E18" s="5" t="s">
        <v>223</v>
      </c>
      <c r="F18" s="2" t="str">
        <f>HYPERLINK("https://stat100.ameba.jp/tnk47/ratio20/illustrations/card/ill_7483_fuyunojinhayakawanagamasa03.jpg", "■")</f>
        <v>■</v>
      </c>
      <c r="G18" s="1" t="s">
        <v>201</v>
      </c>
      <c r="I18" s="1" t="s">
        <v>281</v>
      </c>
      <c r="J18" s="1">
        <v>9</v>
      </c>
      <c r="K18" s="1">
        <v>9514</v>
      </c>
      <c r="L18" s="1">
        <v>11329</v>
      </c>
      <c r="M18" s="1" t="s">
        <v>52</v>
      </c>
      <c r="N18" s="1" t="s">
        <v>53</v>
      </c>
    </row>
    <row r="19" spans="1:14">
      <c r="A19" s="1">
        <v>21543</v>
      </c>
      <c r="B19" s="1" t="s">
        <v>26</v>
      </c>
      <c r="C19" s="1" t="s">
        <v>51</v>
      </c>
      <c r="D19" s="1" t="s">
        <v>20</v>
      </c>
      <c r="E19" s="5" t="s">
        <v>224</v>
      </c>
      <c r="F19" s="2" t="str">
        <f>HYPERLINK("https://stat100.ameba.jp/tnk47/ratio20/illustrations/card/ill_21543_fuyunojimmanoyorikane03.jpg", "■")</f>
        <v>■</v>
      </c>
      <c r="G19" s="1" t="s">
        <v>200</v>
      </c>
      <c r="I19" s="1" t="s">
        <v>281</v>
      </c>
      <c r="J19" s="1">
        <v>9</v>
      </c>
      <c r="K19" s="1">
        <v>11329</v>
      </c>
      <c r="L19" s="1">
        <v>9514</v>
      </c>
      <c r="M19" s="1" t="s">
        <v>54</v>
      </c>
      <c r="N19" s="1" t="s">
        <v>55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7A5E9-C69A-42C8-83D8-3F7B5B7B50EB}">
  <dimension ref="A1:O19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1" customWidth="1"/>
    <col min="2" max="2" width="3.9140625" style="1" customWidth="1"/>
    <col min="3" max="3" width="12.33203125" style="1" customWidth="1"/>
    <col min="4" max="4" width="5.4140625" style="1" customWidth="1"/>
    <col min="5" max="5" width="30.9140625" style="1" customWidth="1"/>
    <col min="6" max="6" width="3.75" style="1" customWidth="1"/>
    <col min="7" max="7" width="30.9140625" style="1" hidden="1" customWidth="1"/>
    <col min="8" max="8" width="12.9140625" style="1" hidden="1" customWidth="1"/>
    <col min="9" max="9" width="17.33203125" style="1" hidden="1" customWidth="1"/>
    <col min="10" max="10" width="3.9140625" style="1" customWidth="1"/>
    <col min="11" max="12" width="7.08203125" style="1" customWidth="1"/>
    <col min="13" max="13" width="30.75" style="1" hidden="1" customWidth="1"/>
    <col min="14" max="14" width="70.9140625" style="1" customWidth="1"/>
    <col min="15" max="15" width="25.9140625" style="1" customWidth="1"/>
    <col min="16" max="16384" width="8.9140625" style="1"/>
  </cols>
  <sheetData>
    <row r="1" spans="1:15">
      <c r="A1" s="3" t="s">
        <v>126</v>
      </c>
      <c r="B1" s="3" t="s">
        <v>21</v>
      </c>
      <c r="C1" s="3" t="s">
        <v>13</v>
      </c>
      <c r="D1" s="4" t="s">
        <v>14</v>
      </c>
      <c r="E1" s="4" t="s">
        <v>15</v>
      </c>
      <c r="F1" s="4" t="s">
        <v>209</v>
      </c>
      <c r="G1" s="4" t="s">
        <v>153</v>
      </c>
      <c r="H1" s="4" t="s">
        <v>156</v>
      </c>
      <c r="I1" s="4" t="s">
        <v>16</v>
      </c>
      <c r="J1" s="4" t="s">
        <v>17</v>
      </c>
      <c r="K1" s="4" t="s">
        <v>155</v>
      </c>
      <c r="L1" s="4" t="s">
        <v>154</v>
      </c>
      <c r="M1" s="4" t="s">
        <v>18</v>
      </c>
      <c r="N1" s="4" t="s">
        <v>248</v>
      </c>
      <c r="O1" s="4" t="s">
        <v>250</v>
      </c>
    </row>
    <row r="2" spans="1:15">
      <c r="E2" s="2"/>
      <c r="F2" s="2"/>
    </row>
    <row r="3" spans="1:15">
      <c r="A3" s="1">
        <v>75733</v>
      </c>
      <c r="B3" s="1" t="s">
        <v>23</v>
      </c>
      <c r="C3" s="1" t="s">
        <v>22</v>
      </c>
      <c r="D3" s="1" t="s">
        <v>5</v>
      </c>
      <c r="E3" s="5" t="s">
        <v>225</v>
      </c>
      <c r="F3" s="2" t="str">
        <f>HYPERLINK("https://stat100.ameba.jp/tnk47/ratio20/illustrations/card/ill_75733_nakanotakeko03.jpg", "■")</f>
        <v>■</v>
      </c>
      <c r="G3" s="1" t="s">
        <v>120</v>
      </c>
      <c r="H3" s="1" t="s">
        <v>141</v>
      </c>
      <c r="I3" s="1" t="s">
        <v>140</v>
      </c>
      <c r="J3" s="1">
        <v>9</v>
      </c>
      <c r="K3" s="1">
        <v>53502</v>
      </c>
      <c r="L3" s="1">
        <v>49747</v>
      </c>
      <c r="M3" s="1" t="s">
        <v>24</v>
      </c>
      <c r="N3" s="1" t="s">
        <v>262</v>
      </c>
      <c r="O3" s="1" t="s">
        <v>249</v>
      </c>
    </row>
    <row r="4" spans="1:15">
      <c r="A4" s="1">
        <v>75743</v>
      </c>
      <c r="B4" s="1" t="s">
        <v>10</v>
      </c>
      <c r="C4" s="1" t="s">
        <v>7</v>
      </c>
      <c r="D4" s="1" t="s">
        <v>5</v>
      </c>
      <c r="E4" s="5" t="s">
        <v>226</v>
      </c>
      <c r="F4" s="2" t="str">
        <f>HYPERLINK("https://stat100.ameba.jp/tnk47/ratio20/illustrations/card/ill_75743_yagyumuneyoshi03.jpg", "■")</f>
        <v>■</v>
      </c>
      <c r="G4" s="1" t="s">
        <v>119</v>
      </c>
      <c r="H4" s="1" t="s">
        <v>56</v>
      </c>
      <c r="I4" s="1" t="s">
        <v>256</v>
      </c>
      <c r="J4" s="1">
        <v>7</v>
      </c>
      <c r="K4" s="1">
        <v>18818</v>
      </c>
      <c r="L4" s="1">
        <v>20748</v>
      </c>
      <c r="M4" s="1" t="s">
        <v>25</v>
      </c>
      <c r="N4" s="1" t="s">
        <v>263</v>
      </c>
      <c r="O4" s="1" t="s">
        <v>253</v>
      </c>
    </row>
    <row r="5" spans="1:15">
      <c r="A5" s="1">
        <v>75763</v>
      </c>
      <c r="B5" s="1" t="s">
        <v>0</v>
      </c>
      <c r="C5" s="1" t="s">
        <v>6</v>
      </c>
      <c r="D5" s="1" t="s">
        <v>5</v>
      </c>
      <c r="E5" s="5" t="s">
        <v>227</v>
      </c>
      <c r="F5" s="2" t="str">
        <f>HYPERLINK("https://stat100.ameba.jp/tnk47/ratio20/illustrations/card/ill_75763_gensoutaisenmatsuotaseko03.jpg", "■")</f>
        <v>■</v>
      </c>
      <c r="G5" s="1" t="s">
        <v>62</v>
      </c>
      <c r="H5" s="1" t="s">
        <v>12</v>
      </c>
      <c r="I5" s="1" t="s">
        <v>61</v>
      </c>
      <c r="J5" s="1">
        <v>9</v>
      </c>
      <c r="K5" s="1">
        <v>18712</v>
      </c>
      <c r="L5" s="1">
        <v>15559</v>
      </c>
      <c r="M5" s="1" t="s">
        <v>27</v>
      </c>
      <c r="N5" s="1" t="s">
        <v>28</v>
      </c>
    </row>
    <row r="6" spans="1:15">
      <c r="E6" s="2"/>
      <c r="F6" s="2"/>
    </row>
    <row r="7" spans="1:15">
      <c r="A7" s="1">
        <v>27373</v>
      </c>
      <c r="B7" s="1" t="s">
        <v>0</v>
      </c>
      <c r="C7" s="1" t="s">
        <v>1</v>
      </c>
      <c r="D7" s="1" t="s">
        <v>19</v>
      </c>
      <c r="E7" s="5" t="s">
        <v>213</v>
      </c>
      <c r="F7" s="2" t="str">
        <f>HYPERLINK("https://stat100.ameba.jp/tnk47/ratio20/illustrations/card/ill_27373_bakumatsujoketsuniijimayae03.jpg", "■")</f>
        <v>■</v>
      </c>
      <c r="G7" s="1" t="s">
        <v>60</v>
      </c>
      <c r="I7" s="1" t="s">
        <v>281</v>
      </c>
      <c r="J7" s="1">
        <v>9</v>
      </c>
      <c r="K7" s="1">
        <v>14079</v>
      </c>
      <c r="L7" s="1">
        <v>18270</v>
      </c>
      <c r="M7" s="1" t="s">
        <v>29</v>
      </c>
      <c r="N7" s="1" t="s">
        <v>30</v>
      </c>
    </row>
    <row r="8" spans="1:15">
      <c r="A8" s="1">
        <v>23533</v>
      </c>
      <c r="B8" s="1" t="s">
        <v>0</v>
      </c>
      <c r="C8" s="1" t="s">
        <v>1</v>
      </c>
      <c r="D8" s="1" t="s">
        <v>11</v>
      </c>
      <c r="E8" s="5" t="s">
        <v>214</v>
      </c>
      <c r="F8" s="2" t="str">
        <f>HYPERLINK("https://stat100.ameba.jp/tnk47/ratio20/illustrations/card/ill_23533_fuyunojinseishinni03.jpg", "■")</f>
        <v>■</v>
      </c>
      <c r="G8" s="1" t="s">
        <v>59</v>
      </c>
      <c r="I8" s="1" t="s">
        <v>281</v>
      </c>
      <c r="J8" s="1">
        <v>9</v>
      </c>
      <c r="K8" s="1">
        <v>17053</v>
      </c>
      <c r="L8" s="1">
        <v>15130</v>
      </c>
      <c r="M8" s="1" t="s">
        <v>31</v>
      </c>
      <c r="N8" s="1" t="s">
        <v>32</v>
      </c>
    </row>
    <row r="9" spans="1:15">
      <c r="A9" s="1">
        <v>21493</v>
      </c>
      <c r="B9" s="1" t="s">
        <v>0</v>
      </c>
      <c r="C9" s="1" t="s">
        <v>4</v>
      </c>
      <c r="D9" s="1" t="s">
        <v>20</v>
      </c>
      <c r="E9" s="5" t="s">
        <v>215</v>
      </c>
      <c r="F9" s="2" t="str">
        <f>HYPERLINK("https://stat100.ameba.jp/tnk47/ratio20/illustrations/card/ill_21493_fuyunojintokugawahidetada03.jpg", "■")</f>
        <v>■</v>
      </c>
      <c r="G9" s="1" t="s">
        <v>58</v>
      </c>
      <c r="I9" s="1" t="s">
        <v>281</v>
      </c>
      <c r="J9" s="1">
        <v>9</v>
      </c>
      <c r="K9" s="1">
        <v>15130</v>
      </c>
      <c r="L9" s="1">
        <v>17053</v>
      </c>
      <c r="M9" s="1" t="s">
        <v>33</v>
      </c>
      <c r="N9" s="1" t="s">
        <v>34</v>
      </c>
    </row>
    <row r="10" spans="1:15">
      <c r="A10" s="1">
        <v>21503</v>
      </c>
      <c r="B10" s="1" t="s">
        <v>0</v>
      </c>
      <c r="C10" s="1" t="s">
        <v>6</v>
      </c>
      <c r="D10" s="1" t="s">
        <v>11</v>
      </c>
      <c r="E10" s="5" t="s">
        <v>216</v>
      </c>
      <c r="F10" s="2" t="str">
        <f>HYPERLINK("https://stat100.ameba.jp/tnk47/ratio20/illustrations/card/ill_21503_fuyunojintensuin03.jpg", "■")</f>
        <v>■</v>
      </c>
      <c r="G10" s="1" t="s">
        <v>57</v>
      </c>
      <c r="I10" s="1" t="s">
        <v>281</v>
      </c>
      <c r="J10" s="1">
        <v>9</v>
      </c>
      <c r="K10" s="1">
        <v>18270</v>
      </c>
      <c r="L10" s="1">
        <v>14079</v>
      </c>
      <c r="M10" s="1" t="s">
        <v>35</v>
      </c>
      <c r="N10" s="1" t="s">
        <v>36</v>
      </c>
    </row>
    <row r="11" spans="1:15">
      <c r="A11" s="1">
        <v>28773</v>
      </c>
      <c r="B11" s="1" t="s">
        <v>0</v>
      </c>
      <c r="C11" s="1" t="s">
        <v>7</v>
      </c>
      <c r="D11" s="1" t="s">
        <v>19</v>
      </c>
      <c r="E11" s="5" t="s">
        <v>217</v>
      </c>
      <c r="F11" s="2" t="str">
        <f>HYPERLINK("https://stat100.ameba.jp/tnk47/ratio20/illustrations/card/ill_28773_sanjosanetomi03.jpg", "■")</f>
        <v>■</v>
      </c>
      <c r="G11" s="1" t="s">
        <v>64</v>
      </c>
      <c r="H11" s="1" t="s">
        <v>63</v>
      </c>
      <c r="I11" s="1" t="s">
        <v>273</v>
      </c>
      <c r="J11" s="1">
        <v>9</v>
      </c>
      <c r="K11" s="1">
        <v>18270</v>
      </c>
      <c r="L11" s="1">
        <v>18270</v>
      </c>
      <c r="M11" s="1" t="s">
        <v>37</v>
      </c>
      <c r="N11" s="1" t="s">
        <v>38</v>
      </c>
    </row>
    <row r="12" spans="1:15">
      <c r="A12" s="1">
        <v>21443</v>
      </c>
      <c r="B12" s="1" t="s">
        <v>0</v>
      </c>
      <c r="C12" s="1" t="s">
        <v>7</v>
      </c>
      <c r="D12" s="1" t="s">
        <v>11</v>
      </c>
      <c r="E12" s="5" t="s">
        <v>218</v>
      </c>
      <c r="F12" s="2" t="str">
        <f>HYPERLINK("https://stat100.ameba.jp/tnk47/ratio20/illustrations/card/ill_21443_fuyunojinsenhime03.jpg", "■")</f>
        <v>■</v>
      </c>
      <c r="G12" s="1" t="s">
        <v>125</v>
      </c>
      <c r="I12" s="1" t="s">
        <v>272</v>
      </c>
      <c r="J12" s="1">
        <v>9</v>
      </c>
      <c r="K12" s="1">
        <v>15130</v>
      </c>
      <c r="L12" s="1">
        <v>17053</v>
      </c>
      <c r="M12" s="1" t="s">
        <v>39</v>
      </c>
      <c r="N12" s="1" t="s">
        <v>40</v>
      </c>
    </row>
    <row r="13" spans="1:15">
      <c r="A13" s="1">
        <v>20623</v>
      </c>
      <c r="B13" s="1" t="s">
        <v>0</v>
      </c>
      <c r="C13" s="1" t="s">
        <v>8</v>
      </c>
      <c r="D13" s="1" t="s">
        <v>20</v>
      </c>
      <c r="E13" s="5" t="s">
        <v>219</v>
      </c>
      <c r="F13" s="2" t="str">
        <f>HYPERLINK("https://stat100.ameba.jp/tnk47/ratio20/illustrations/card/ill_20623_fuyunojinakashitakenori03.jpg", "■")</f>
        <v>■</v>
      </c>
      <c r="G13" s="1" t="s">
        <v>150</v>
      </c>
      <c r="I13" s="1" t="s">
        <v>272</v>
      </c>
      <c r="J13" s="1">
        <v>9</v>
      </c>
      <c r="K13" s="1">
        <v>17053</v>
      </c>
      <c r="L13" s="1">
        <v>15130</v>
      </c>
      <c r="M13" s="1" t="s">
        <v>41</v>
      </c>
      <c r="N13" s="1" t="s">
        <v>42</v>
      </c>
    </row>
    <row r="14" spans="1:15">
      <c r="A14" s="1">
        <v>21433</v>
      </c>
      <c r="B14" s="1" t="s">
        <v>0</v>
      </c>
      <c r="C14" s="1" t="s">
        <v>9</v>
      </c>
      <c r="D14" s="1" t="s">
        <v>11</v>
      </c>
      <c r="E14" s="5" t="s">
        <v>220</v>
      </c>
      <c r="F14" s="2" t="str">
        <f>HYPERLINK("https://stat100.ameba.jp/tnk47/ratio20/illustrations/card/ill_21433_fuyunojinokurakyonotsubone03.jpg", "■")</f>
        <v>■</v>
      </c>
      <c r="G14" s="1" t="s">
        <v>151</v>
      </c>
      <c r="I14" s="1" t="s">
        <v>272</v>
      </c>
      <c r="J14" s="1">
        <v>9</v>
      </c>
      <c r="K14" s="1">
        <v>14079</v>
      </c>
      <c r="L14" s="1">
        <v>18270</v>
      </c>
      <c r="M14" s="1" t="s">
        <v>43</v>
      </c>
      <c r="N14" s="1" t="s">
        <v>44</v>
      </c>
    </row>
    <row r="15" spans="1:15">
      <c r="E15" s="2"/>
      <c r="F15" s="2"/>
    </row>
    <row r="16" spans="1:15">
      <c r="A16" s="1">
        <v>21513</v>
      </c>
      <c r="B16" s="1" t="s">
        <v>26</v>
      </c>
      <c r="C16" s="1" t="s">
        <v>45</v>
      </c>
      <c r="D16" s="1" t="s">
        <v>11</v>
      </c>
      <c r="E16" s="5" t="s">
        <v>221</v>
      </c>
      <c r="F16" s="2" t="str">
        <f>HYPERLINK("https://stat100.ameba.jp/tnk47/ratio20/illustrations/card/ill_21513_fuyunojinosennokata03.jpg", "■")</f>
        <v>■</v>
      </c>
      <c r="G16" s="1" t="s">
        <v>203</v>
      </c>
      <c r="I16" s="1" t="s">
        <v>272</v>
      </c>
      <c r="J16" s="1">
        <v>9</v>
      </c>
      <c r="K16" s="1">
        <v>9514</v>
      </c>
      <c r="L16" s="1">
        <v>11329</v>
      </c>
      <c r="M16" s="1" t="s">
        <v>46</v>
      </c>
      <c r="N16" s="1" t="s">
        <v>47</v>
      </c>
    </row>
    <row r="17" spans="1:14">
      <c r="A17" s="1">
        <v>20593</v>
      </c>
      <c r="B17" s="1" t="s">
        <v>26</v>
      </c>
      <c r="C17" s="1" t="s">
        <v>48</v>
      </c>
      <c r="D17" s="1" t="s">
        <v>11</v>
      </c>
      <c r="E17" s="5" t="s">
        <v>222</v>
      </c>
      <c r="F17" s="2" t="str">
        <f>HYPERLINK("https://stat100.ameba.jp/tnk47/ratio20/illustrations/card/ill_20593_fuyunojinachanotsubone03.jpg", "■")</f>
        <v>■</v>
      </c>
      <c r="G17" s="1" t="s">
        <v>202</v>
      </c>
      <c r="I17" s="1" t="s">
        <v>272</v>
      </c>
      <c r="J17" s="1">
        <v>9</v>
      </c>
      <c r="K17" s="1">
        <v>9514</v>
      </c>
      <c r="L17" s="1">
        <v>11329</v>
      </c>
      <c r="M17" s="1" t="s">
        <v>49</v>
      </c>
      <c r="N17" s="1" t="s">
        <v>50</v>
      </c>
    </row>
    <row r="18" spans="1:14">
      <c r="A18" s="1">
        <v>7483</v>
      </c>
      <c r="B18" s="1" t="s">
        <v>26</v>
      </c>
      <c r="C18" s="1" t="s">
        <v>51</v>
      </c>
      <c r="D18" s="1" t="s">
        <v>20</v>
      </c>
      <c r="E18" s="5" t="s">
        <v>223</v>
      </c>
      <c r="F18" s="2" t="str">
        <f>HYPERLINK("https://stat100.ameba.jp/tnk47/ratio20/illustrations/card/ill_7483_fuyunojinhayakawanagamasa03.jpg", "■")</f>
        <v>■</v>
      </c>
      <c r="G18" s="1" t="s">
        <v>201</v>
      </c>
      <c r="I18" s="1" t="s">
        <v>272</v>
      </c>
      <c r="J18" s="1">
        <v>9</v>
      </c>
      <c r="K18" s="1">
        <v>9514</v>
      </c>
      <c r="L18" s="1">
        <v>11329</v>
      </c>
      <c r="M18" s="1" t="s">
        <v>52</v>
      </c>
      <c r="N18" s="1" t="s">
        <v>53</v>
      </c>
    </row>
    <row r="19" spans="1:14">
      <c r="A19" s="1">
        <v>21543</v>
      </c>
      <c r="B19" s="1" t="s">
        <v>26</v>
      </c>
      <c r="C19" s="1" t="s">
        <v>51</v>
      </c>
      <c r="D19" s="1" t="s">
        <v>20</v>
      </c>
      <c r="E19" s="5" t="s">
        <v>224</v>
      </c>
      <c r="F19" s="2" t="str">
        <f>HYPERLINK("https://stat100.ameba.jp/tnk47/ratio20/illustrations/card/ill_21543_fuyunojimmanoyorikane03.jpg", "■")</f>
        <v>■</v>
      </c>
      <c r="G19" s="1" t="s">
        <v>200</v>
      </c>
      <c r="I19" s="1" t="s">
        <v>272</v>
      </c>
      <c r="J19" s="1">
        <v>9</v>
      </c>
      <c r="K19" s="1">
        <v>11329</v>
      </c>
      <c r="L19" s="1">
        <v>9514</v>
      </c>
      <c r="M19" s="1" t="s">
        <v>54</v>
      </c>
      <c r="N19" s="1" t="s">
        <v>55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F146-F506-4AF7-B49A-8FC1D5DBF4C5}">
  <dimension ref="A1:O19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1" customWidth="1"/>
    <col min="2" max="2" width="3.9140625" style="1" customWidth="1"/>
    <col min="3" max="3" width="12.33203125" style="1" customWidth="1"/>
    <col min="4" max="4" width="5.4140625" style="1" customWidth="1"/>
    <col min="5" max="5" width="30.9140625" style="1" customWidth="1"/>
    <col min="6" max="6" width="3.75" style="1" customWidth="1"/>
    <col min="7" max="7" width="30.9140625" style="1" hidden="1" customWidth="1"/>
    <col min="8" max="8" width="12.9140625" style="1" hidden="1" customWidth="1"/>
    <col min="9" max="9" width="17.33203125" style="1" hidden="1" customWidth="1"/>
    <col min="10" max="10" width="3.9140625" style="1" customWidth="1"/>
    <col min="11" max="12" width="7.08203125" style="1" customWidth="1"/>
    <col min="13" max="13" width="30.75" style="1" hidden="1" customWidth="1"/>
    <col min="14" max="14" width="70.9140625" style="1" customWidth="1"/>
    <col min="15" max="15" width="25.9140625" style="1" customWidth="1"/>
    <col min="16" max="16384" width="8.9140625" style="1"/>
  </cols>
  <sheetData>
    <row r="1" spans="1:15">
      <c r="A1" s="3" t="s">
        <v>126</v>
      </c>
      <c r="B1" s="3" t="s">
        <v>21</v>
      </c>
      <c r="C1" s="3" t="s">
        <v>13</v>
      </c>
      <c r="D1" s="4" t="s">
        <v>14</v>
      </c>
      <c r="E1" s="4" t="s">
        <v>15</v>
      </c>
      <c r="F1" s="4" t="s">
        <v>209</v>
      </c>
      <c r="G1" s="4" t="s">
        <v>153</v>
      </c>
      <c r="H1" s="4" t="s">
        <v>156</v>
      </c>
      <c r="I1" s="4" t="s">
        <v>16</v>
      </c>
      <c r="J1" s="4" t="s">
        <v>17</v>
      </c>
      <c r="K1" s="4" t="s">
        <v>155</v>
      </c>
      <c r="L1" s="4" t="s">
        <v>154</v>
      </c>
      <c r="M1" s="4" t="s">
        <v>18</v>
      </c>
      <c r="N1" s="4" t="s">
        <v>248</v>
      </c>
      <c r="O1" s="4" t="s">
        <v>250</v>
      </c>
    </row>
    <row r="2" spans="1:15">
      <c r="E2" s="2"/>
      <c r="F2" s="2"/>
    </row>
    <row r="3" spans="1:15">
      <c r="A3" s="1">
        <v>77473</v>
      </c>
      <c r="B3" s="1" t="s">
        <v>23</v>
      </c>
      <c r="C3" s="1" t="s">
        <v>100</v>
      </c>
      <c r="D3" s="1" t="s">
        <v>101</v>
      </c>
      <c r="E3" s="5" t="s">
        <v>228</v>
      </c>
      <c r="F3" s="2" t="str">
        <f>HYPERLINK("https://stat100.ameba.jp/tnk47/ratio20/illustrations/card/ill_77473_miyakonotawasetouchiremon03.jpg", "■")</f>
        <v>■</v>
      </c>
      <c r="G3" s="1" t="s">
        <v>108</v>
      </c>
      <c r="H3" s="1" t="s">
        <v>642</v>
      </c>
      <c r="I3" s="1" t="s">
        <v>641</v>
      </c>
      <c r="J3" s="1">
        <v>13</v>
      </c>
      <c r="K3" s="1">
        <v>57088</v>
      </c>
      <c r="L3" s="1">
        <v>61393</v>
      </c>
      <c r="M3" s="1" t="s">
        <v>102</v>
      </c>
      <c r="N3" s="1" t="s">
        <v>264</v>
      </c>
      <c r="O3" s="1" t="s">
        <v>251</v>
      </c>
    </row>
    <row r="4" spans="1:15">
      <c r="A4" s="1">
        <v>77483</v>
      </c>
      <c r="B4" s="1" t="s">
        <v>10</v>
      </c>
      <c r="C4" s="1" t="s">
        <v>4</v>
      </c>
      <c r="D4" s="1" t="s">
        <v>101</v>
      </c>
      <c r="E4" s="5" t="s">
        <v>229</v>
      </c>
      <c r="F4" s="2" t="str">
        <f>HYPERLINK("https://stat100.ameba.jp/tnk47/ratio20/illustrations/card/ill_77483_mitsumame03.jpg", "■")</f>
        <v>■</v>
      </c>
      <c r="G4" s="1" t="s">
        <v>107</v>
      </c>
      <c r="H4" s="1" t="s">
        <v>106</v>
      </c>
      <c r="I4" s="1" t="s">
        <v>118</v>
      </c>
      <c r="J4" s="1">
        <v>7</v>
      </c>
      <c r="K4" s="1">
        <v>20748</v>
      </c>
      <c r="L4" s="1">
        <v>18818</v>
      </c>
      <c r="M4" s="1" t="s">
        <v>25</v>
      </c>
      <c r="N4" s="1" t="s">
        <v>265</v>
      </c>
    </row>
    <row r="5" spans="1:15">
      <c r="A5" s="1">
        <v>77503</v>
      </c>
      <c r="B5" s="1" t="s">
        <v>0</v>
      </c>
      <c r="C5" s="1" t="s">
        <v>6</v>
      </c>
      <c r="D5" s="1" t="s">
        <v>101</v>
      </c>
      <c r="E5" s="5" t="s">
        <v>230</v>
      </c>
      <c r="F5" s="2" t="str">
        <f>HYPERLINK("https://stat100.ameba.jp/tnk47/ratio20/illustrations/card/ill_77503_yubeshi03.jpg", "■")</f>
        <v>■</v>
      </c>
      <c r="G5" s="1" t="s">
        <v>105</v>
      </c>
      <c r="H5" s="1" t="s">
        <v>12</v>
      </c>
      <c r="I5" s="1" t="s">
        <v>61</v>
      </c>
      <c r="J5" s="1">
        <v>9</v>
      </c>
      <c r="K5" s="1">
        <v>15559</v>
      </c>
      <c r="L5" s="1">
        <v>18712</v>
      </c>
      <c r="M5" s="1" t="s">
        <v>103</v>
      </c>
      <c r="N5" s="1" t="s">
        <v>104</v>
      </c>
    </row>
    <row r="6" spans="1:15">
      <c r="E6" s="2"/>
      <c r="F6" s="2"/>
    </row>
    <row r="7" spans="1:15">
      <c r="A7" s="1">
        <v>27373</v>
      </c>
      <c r="B7" s="1" t="s">
        <v>0</v>
      </c>
      <c r="C7" s="1" t="s">
        <v>1</v>
      </c>
      <c r="D7" s="1" t="s">
        <v>19</v>
      </c>
      <c r="E7" s="5" t="s">
        <v>213</v>
      </c>
      <c r="F7" s="2" t="str">
        <f>HYPERLINK("https://stat100.ameba.jp/tnk47/ratio20/illustrations/card/ill_27373_bakumatsujoketsuniijimayae03.jpg", "■")</f>
        <v>■</v>
      </c>
      <c r="G7" s="1" t="s">
        <v>60</v>
      </c>
      <c r="I7" s="1" t="s">
        <v>281</v>
      </c>
      <c r="J7" s="1">
        <v>9</v>
      </c>
      <c r="K7" s="1">
        <v>14079</v>
      </c>
      <c r="L7" s="1">
        <v>18270</v>
      </c>
      <c r="M7" s="1" t="s">
        <v>29</v>
      </c>
      <c r="N7" s="1" t="s">
        <v>30</v>
      </c>
    </row>
    <row r="8" spans="1:15">
      <c r="A8" s="1">
        <v>23533</v>
      </c>
      <c r="B8" s="1" t="s">
        <v>0</v>
      </c>
      <c r="C8" s="1" t="s">
        <v>1</v>
      </c>
      <c r="D8" s="1" t="s">
        <v>11</v>
      </c>
      <c r="E8" s="5" t="s">
        <v>214</v>
      </c>
      <c r="F8" s="2" t="str">
        <f>HYPERLINK("https://stat100.ameba.jp/tnk47/ratio20/illustrations/card/ill_23533_fuyunojinseishinni03.jpg", "■")</f>
        <v>■</v>
      </c>
      <c r="G8" s="1" t="s">
        <v>59</v>
      </c>
      <c r="I8" s="1" t="s">
        <v>281</v>
      </c>
      <c r="J8" s="1">
        <v>9</v>
      </c>
      <c r="K8" s="1">
        <v>17053</v>
      </c>
      <c r="L8" s="1">
        <v>15130</v>
      </c>
      <c r="M8" s="1" t="s">
        <v>31</v>
      </c>
      <c r="N8" s="1" t="s">
        <v>32</v>
      </c>
    </row>
    <row r="9" spans="1:15">
      <c r="A9" s="1">
        <v>21493</v>
      </c>
      <c r="B9" s="1" t="s">
        <v>0</v>
      </c>
      <c r="C9" s="1" t="s">
        <v>4</v>
      </c>
      <c r="D9" s="1" t="s">
        <v>20</v>
      </c>
      <c r="E9" s="5" t="s">
        <v>215</v>
      </c>
      <c r="F9" s="2" t="str">
        <f>HYPERLINK("https://stat100.ameba.jp/tnk47/ratio20/illustrations/card/ill_21493_fuyunojintokugawahidetada03.jpg", "■")</f>
        <v>■</v>
      </c>
      <c r="G9" s="1" t="s">
        <v>58</v>
      </c>
      <c r="I9" s="1" t="s">
        <v>281</v>
      </c>
      <c r="J9" s="1">
        <v>9</v>
      </c>
      <c r="K9" s="1">
        <v>15130</v>
      </c>
      <c r="L9" s="1">
        <v>17053</v>
      </c>
      <c r="M9" s="1" t="s">
        <v>33</v>
      </c>
      <c r="N9" s="1" t="s">
        <v>34</v>
      </c>
    </row>
    <row r="10" spans="1:15">
      <c r="A10" s="1">
        <v>21503</v>
      </c>
      <c r="B10" s="1" t="s">
        <v>0</v>
      </c>
      <c r="C10" s="1" t="s">
        <v>6</v>
      </c>
      <c r="D10" s="1" t="s">
        <v>11</v>
      </c>
      <c r="E10" s="5" t="s">
        <v>216</v>
      </c>
      <c r="F10" s="2" t="str">
        <f>HYPERLINK("https://stat100.ameba.jp/tnk47/ratio20/illustrations/card/ill_21503_fuyunojintensuin03.jpg", "■")</f>
        <v>■</v>
      </c>
      <c r="G10" s="1" t="s">
        <v>57</v>
      </c>
      <c r="I10" s="1" t="s">
        <v>281</v>
      </c>
      <c r="J10" s="1">
        <v>9</v>
      </c>
      <c r="K10" s="1">
        <v>18270</v>
      </c>
      <c r="L10" s="1">
        <v>14079</v>
      </c>
      <c r="M10" s="1" t="s">
        <v>35</v>
      </c>
      <c r="N10" s="1" t="s">
        <v>36</v>
      </c>
    </row>
    <row r="11" spans="1:15">
      <c r="A11" s="1">
        <v>28773</v>
      </c>
      <c r="B11" s="1" t="s">
        <v>0</v>
      </c>
      <c r="C11" s="1" t="s">
        <v>7</v>
      </c>
      <c r="D11" s="1" t="s">
        <v>19</v>
      </c>
      <c r="E11" s="5" t="s">
        <v>217</v>
      </c>
      <c r="F11" s="2" t="str">
        <f>HYPERLINK("https://stat100.ameba.jp/tnk47/ratio20/illustrations/card/ill_28773_sanjosanetomi03.jpg", "■")</f>
        <v>■</v>
      </c>
      <c r="G11" s="1" t="s">
        <v>64</v>
      </c>
      <c r="I11" s="1" t="s">
        <v>281</v>
      </c>
      <c r="J11" s="1">
        <v>9</v>
      </c>
      <c r="K11" s="1">
        <v>18270</v>
      </c>
      <c r="L11" s="1">
        <v>18270</v>
      </c>
      <c r="M11" s="1" t="s">
        <v>37</v>
      </c>
      <c r="N11" s="1" t="s">
        <v>38</v>
      </c>
    </row>
    <row r="12" spans="1:15">
      <c r="A12" s="1">
        <v>21443</v>
      </c>
      <c r="B12" s="1" t="s">
        <v>0</v>
      </c>
      <c r="C12" s="1" t="s">
        <v>7</v>
      </c>
      <c r="D12" s="1" t="s">
        <v>11</v>
      </c>
      <c r="E12" s="5" t="s">
        <v>218</v>
      </c>
      <c r="F12" s="2" t="str">
        <f>HYPERLINK("https://stat100.ameba.jp/tnk47/ratio20/illustrations/card/ill_21443_fuyunojinsenhime03.jpg", "■")</f>
        <v>■</v>
      </c>
      <c r="G12" s="1" t="s">
        <v>125</v>
      </c>
      <c r="H12" s="1" t="s">
        <v>69</v>
      </c>
      <c r="I12" s="1" t="s">
        <v>274</v>
      </c>
      <c r="J12" s="1">
        <v>9</v>
      </c>
      <c r="K12" s="1">
        <v>15130</v>
      </c>
      <c r="L12" s="1">
        <v>17053</v>
      </c>
      <c r="M12" s="1" t="s">
        <v>39</v>
      </c>
      <c r="N12" s="1" t="s">
        <v>40</v>
      </c>
    </row>
    <row r="13" spans="1:15">
      <c r="A13" s="1">
        <v>20623</v>
      </c>
      <c r="B13" s="1" t="s">
        <v>0</v>
      </c>
      <c r="C13" s="1" t="s">
        <v>8</v>
      </c>
      <c r="D13" s="1" t="s">
        <v>20</v>
      </c>
      <c r="E13" s="5" t="s">
        <v>219</v>
      </c>
      <c r="F13" s="2" t="str">
        <f>HYPERLINK("https://stat100.ameba.jp/tnk47/ratio20/illustrations/card/ill_20623_fuyunojinakashitakenori03.jpg", "■")</f>
        <v>■</v>
      </c>
      <c r="G13" s="1" t="s">
        <v>150</v>
      </c>
      <c r="I13" s="1" t="s">
        <v>272</v>
      </c>
      <c r="J13" s="1">
        <v>9</v>
      </c>
      <c r="K13" s="1">
        <v>17053</v>
      </c>
      <c r="L13" s="1">
        <v>15130</v>
      </c>
      <c r="M13" s="1" t="s">
        <v>41</v>
      </c>
      <c r="N13" s="1" t="s">
        <v>42</v>
      </c>
    </row>
    <row r="14" spans="1:15">
      <c r="A14" s="1">
        <v>21433</v>
      </c>
      <c r="B14" s="1" t="s">
        <v>0</v>
      </c>
      <c r="C14" s="1" t="s">
        <v>9</v>
      </c>
      <c r="D14" s="1" t="s">
        <v>11</v>
      </c>
      <c r="E14" s="5" t="s">
        <v>220</v>
      </c>
      <c r="F14" s="2" t="str">
        <f>HYPERLINK("https://stat100.ameba.jp/tnk47/ratio20/illustrations/card/ill_21433_fuyunojinokurakyonotsubone03.jpg", "■")</f>
        <v>■</v>
      </c>
      <c r="G14" s="1" t="s">
        <v>151</v>
      </c>
      <c r="I14" s="1" t="s">
        <v>272</v>
      </c>
      <c r="J14" s="1">
        <v>9</v>
      </c>
      <c r="K14" s="1">
        <v>14079</v>
      </c>
      <c r="L14" s="1">
        <v>18270</v>
      </c>
      <c r="M14" s="1" t="s">
        <v>43</v>
      </c>
      <c r="N14" s="1" t="s">
        <v>44</v>
      </c>
    </row>
    <row r="15" spans="1:15">
      <c r="E15" s="2"/>
      <c r="F15" s="2"/>
    </row>
    <row r="16" spans="1:15">
      <c r="A16" s="1">
        <v>21513</v>
      </c>
      <c r="B16" s="1" t="s">
        <v>26</v>
      </c>
      <c r="C16" s="1" t="s">
        <v>45</v>
      </c>
      <c r="D16" s="1" t="s">
        <v>11</v>
      </c>
      <c r="E16" s="5" t="s">
        <v>221</v>
      </c>
      <c r="F16" s="2" t="str">
        <f>HYPERLINK("https://stat100.ameba.jp/tnk47/ratio20/illustrations/card/ill_21513_fuyunojinosennokata03.jpg", "■")</f>
        <v>■</v>
      </c>
      <c r="G16" s="1" t="s">
        <v>203</v>
      </c>
      <c r="I16" s="1" t="s">
        <v>272</v>
      </c>
      <c r="J16" s="1">
        <v>9</v>
      </c>
      <c r="K16" s="1">
        <v>9514</v>
      </c>
      <c r="L16" s="1">
        <v>11329</v>
      </c>
      <c r="M16" s="1" t="s">
        <v>46</v>
      </c>
      <c r="N16" s="1" t="s">
        <v>47</v>
      </c>
    </row>
    <row r="17" spans="1:14">
      <c r="A17" s="1">
        <v>20593</v>
      </c>
      <c r="B17" s="1" t="s">
        <v>26</v>
      </c>
      <c r="C17" s="1" t="s">
        <v>48</v>
      </c>
      <c r="D17" s="1" t="s">
        <v>11</v>
      </c>
      <c r="E17" s="5" t="s">
        <v>222</v>
      </c>
      <c r="F17" s="2" t="str">
        <f>HYPERLINK("https://stat100.ameba.jp/tnk47/ratio20/illustrations/card/ill_20593_fuyunojinachanotsubone03.jpg", "■")</f>
        <v>■</v>
      </c>
      <c r="G17" s="1" t="s">
        <v>202</v>
      </c>
      <c r="I17" s="1" t="s">
        <v>272</v>
      </c>
      <c r="J17" s="1">
        <v>9</v>
      </c>
      <c r="K17" s="1">
        <v>9514</v>
      </c>
      <c r="L17" s="1">
        <v>11329</v>
      </c>
      <c r="M17" s="1" t="s">
        <v>49</v>
      </c>
      <c r="N17" s="1" t="s">
        <v>50</v>
      </c>
    </row>
    <row r="18" spans="1:14">
      <c r="A18" s="1">
        <v>7483</v>
      </c>
      <c r="B18" s="1" t="s">
        <v>26</v>
      </c>
      <c r="C18" s="1" t="s">
        <v>51</v>
      </c>
      <c r="D18" s="1" t="s">
        <v>20</v>
      </c>
      <c r="E18" s="5" t="s">
        <v>223</v>
      </c>
      <c r="F18" s="2" t="str">
        <f>HYPERLINK("https://stat100.ameba.jp/tnk47/ratio20/illustrations/card/ill_7483_fuyunojinhayakawanagamasa03.jpg", "■")</f>
        <v>■</v>
      </c>
      <c r="G18" s="1" t="s">
        <v>201</v>
      </c>
      <c r="I18" s="1" t="s">
        <v>272</v>
      </c>
      <c r="J18" s="1">
        <v>9</v>
      </c>
      <c r="K18" s="1">
        <v>9514</v>
      </c>
      <c r="L18" s="1">
        <v>11329</v>
      </c>
      <c r="M18" s="1" t="s">
        <v>52</v>
      </c>
      <c r="N18" s="1" t="s">
        <v>53</v>
      </c>
    </row>
    <row r="19" spans="1:14">
      <c r="A19" s="1">
        <v>21543</v>
      </c>
      <c r="B19" s="1" t="s">
        <v>26</v>
      </c>
      <c r="C19" s="1" t="s">
        <v>51</v>
      </c>
      <c r="D19" s="1" t="s">
        <v>20</v>
      </c>
      <c r="E19" s="5" t="s">
        <v>224</v>
      </c>
      <c r="F19" s="2" t="str">
        <f>HYPERLINK("https://stat100.ameba.jp/tnk47/ratio20/illustrations/card/ill_21543_fuyunojimmanoyorikane03.jpg", "■")</f>
        <v>■</v>
      </c>
      <c r="G19" s="1" t="s">
        <v>200</v>
      </c>
      <c r="I19" s="1" t="s">
        <v>272</v>
      </c>
      <c r="J19" s="1">
        <v>9</v>
      </c>
      <c r="K19" s="1">
        <v>11329</v>
      </c>
      <c r="L19" s="1">
        <v>9514</v>
      </c>
      <c r="M19" s="1" t="s">
        <v>54</v>
      </c>
      <c r="N19" s="1" t="s">
        <v>55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4808-0477-402C-BC98-511F206C32D6}">
  <dimension ref="A1:O19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1" customWidth="1"/>
    <col min="2" max="2" width="3.9140625" style="1" customWidth="1"/>
    <col min="3" max="3" width="12.33203125" style="1" customWidth="1"/>
    <col min="4" max="4" width="5.4140625" style="1" customWidth="1"/>
    <col min="5" max="5" width="30.9140625" style="1" customWidth="1"/>
    <col min="6" max="6" width="3.75" style="1" customWidth="1"/>
    <col min="7" max="7" width="30.9140625" style="1" hidden="1" customWidth="1"/>
    <col min="8" max="8" width="12.9140625" style="1" hidden="1" customWidth="1"/>
    <col min="9" max="9" width="17.33203125" style="1" hidden="1" customWidth="1"/>
    <col min="10" max="10" width="3.9140625" style="1" customWidth="1"/>
    <col min="11" max="12" width="7.08203125" style="1" customWidth="1"/>
    <col min="13" max="13" width="30.75" style="1" hidden="1" customWidth="1"/>
    <col min="14" max="14" width="70.9140625" style="1" customWidth="1"/>
    <col min="15" max="15" width="25.9140625" style="1" customWidth="1"/>
    <col min="16" max="16384" width="8.9140625" style="1"/>
  </cols>
  <sheetData>
    <row r="1" spans="1:15">
      <c r="A1" s="3" t="s">
        <v>126</v>
      </c>
      <c r="B1" s="3" t="s">
        <v>21</v>
      </c>
      <c r="C1" s="3" t="s">
        <v>13</v>
      </c>
      <c r="D1" s="4" t="s">
        <v>14</v>
      </c>
      <c r="E1" s="4" t="s">
        <v>15</v>
      </c>
      <c r="F1" s="4" t="s">
        <v>209</v>
      </c>
      <c r="G1" s="4" t="s">
        <v>153</v>
      </c>
      <c r="H1" s="4" t="s">
        <v>156</v>
      </c>
      <c r="I1" s="4" t="s">
        <v>16</v>
      </c>
      <c r="J1" s="4" t="s">
        <v>17</v>
      </c>
      <c r="K1" s="4" t="s">
        <v>155</v>
      </c>
      <c r="L1" s="4" t="s">
        <v>154</v>
      </c>
      <c r="M1" s="4" t="s">
        <v>18</v>
      </c>
      <c r="N1" s="4" t="s">
        <v>248</v>
      </c>
      <c r="O1" s="4" t="s">
        <v>250</v>
      </c>
    </row>
    <row r="2" spans="1:15">
      <c r="E2" s="2"/>
      <c r="F2" s="2"/>
    </row>
    <row r="3" spans="1:15">
      <c r="A3" s="1">
        <v>79033</v>
      </c>
      <c r="B3" s="1" t="s">
        <v>23</v>
      </c>
      <c r="C3" s="1" t="s">
        <v>22</v>
      </c>
      <c r="D3" s="1" t="s">
        <v>3</v>
      </c>
      <c r="E3" s="5" t="s">
        <v>231</v>
      </c>
      <c r="F3" s="2" t="str">
        <f>HYPERLINK("https://stat100.ameba.jp/tnk47/ratio20/illustrations/card/ill_79033_shinnenongakukaiotaajuria03.jpg", "■")</f>
        <v>■</v>
      </c>
      <c r="G3" s="1" t="s">
        <v>124</v>
      </c>
      <c r="H3" s="1" t="s">
        <v>122</v>
      </c>
      <c r="I3" s="1" t="s">
        <v>123</v>
      </c>
      <c r="J3" s="1">
        <v>13</v>
      </c>
      <c r="K3" s="1">
        <v>47195</v>
      </c>
      <c r="L3" s="1">
        <v>50779</v>
      </c>
      <c r="M3" s="1" t="s">
        <v>113</v>
      </c>
      <c r="N3" s="1" t="s">
        <v>260</v>
      </c>
    </row>
    <row r="4" spans="1:15">
      <c r="A4" s="1">
        <v>79043</v>
      </c>
      <c r="B4" s="1" t="s">
        <v>10</v>
      </c>
      <c r="C4" s="1" t="s">
        <v>8</v>
      </c>
      <c r="D4" s="1" t="s">
        <v>3</v>
      </c>
      <c r="E4" s="5" t="s">
        <v>232</v>
      </c>
      <c r="F4" s="2" t="str">
        <f>HYPERLINK("https://stat100.ameba.jp/tnk47/ratio20/illustrations/card/ill_79043_aidoruononotsu03.jpg", "■")</f>
        <v>■</v>
      </c>
      <c r="G4" s="1" t="s">
        <v>121</v>
      </c>
      <c r="H4" s="1" t="s">
        <v>117</v>
      </c>
      <c r="I4" s="1" t="s">
        <v>257</v>
      </c>
      <c r="J4" s="1">
        <v>7</v>
      </c>
      <c r="K4" s="1">
        <v>20748</v>
      </c>
      <c r="L4" s="1">
        <v>18818</v>
      </c>
      <c r="M4" s="1" t="s">
        <v>112</v>
      </c>
      <c r="N4" s="1" t="s">
        <v>261</v>
      </c>
    </row>
    <row r="5" spans="1:15">
      <c r="A5" s="1">
        <v>79053</v>
      </c>
      <c r="B5" s="1" t="s">
        <v>0</v>
      </c>
      <c r="C5" s="1" t="s">
        <v>109</v>
      </c>
      <c r="D5" s="1" t="s">
        <v>3</v>
      </c>
      <c r="E5" s="5" t="s">
        <v>233</v>
      </c>
      <c r="F5" s="2" t="str">
        <f>HYPERLINK("https://stat100.ameba.jp/tnk47/ratio20/illustrations/card/ill_79053_asahihime03.jpg", "■")</f>
        <v>■</v>
      </c>
      <c r="G5" s="1" t="s">
        <v>116</v>
      </c>
      <c r="H5" s="1" t="s">
        <v>114</v>
      </c>
      <c r="I5" s="1" t="s">
        <v>115</v>
      </c>
      <c r="J5" s="1">
        <v>9</v>
      </c>
      <c r="K5" s="1">
        <v>15559</v>
      </c>
      <c r="L5" s="1">
        <v>18712</v>
      </c>
      <c r="M5" s="1" t="s">
        <v>110</v>
      </c>
      <c r="N5" s="1" t="s">
        <v>111</v>
      </c>
    </row>
    <row r="6" spans="1:15">
      <c r="E6" s="2"/>
      <c r="F6" s="2"/>
    </row>
    <row r="7" spans="1:15">
      <c r="A7" s="1">
        <v>27373</v>
      </c>
      <c r="B7" s="1" t="s">
        <v>0</v>
      </c>
      <c r="C7" s="1" t="s">
        <v>1</v>
      </c>
      <c r="D7" s="1" t="s">
        <v>19</v>
      </c>
      <c r="E7" s="5" t="s">
        <v>213</v>
      </c>
      <c r="F7" s="2" t="str">
        <f>HYPERLINK("https://stat100.ameba.jp/tnk47/ratio20/illustrations/card/ill_27373_bakumatsujoketsuniijimayae03.jpg", "■")</f>
        <v>■</v>
      </c>
      <c r="G7" s="1" t="s">
        <v>60</v>
      </c>
      <c r="H7" s="1" t="s">
        <v>208</v>
      </c>
      <c r="I7" s="1" t="s">
        <v>282</v>
      </c>
      <c r="J7" s="1">
        <v>9</v>
      </c>
      <c r="K7" s="1">
        <v>14079</v>
      </c>
      <c r="L7" s="1">
        <v>18270</v>
      </c>
      <c r="M7" s="1" t="s">
        <v>29</v>
      </c>
      <c r="N7" s="1" t="s">
        <v>30</v>
      </c>
    </row>
    <row r="8" spans="1:15">
      <c r="A8" s="1">
        <v>23533</v>
      </c>
      <c r="B8" s="1" t="s">
        <v>0</v>
      </c>
      <c r="C8" s="1" t="s">
        <v>1</v>
      </c>
      <c r="D8" s="1" t="s">
        <v>11</v>
      </c>
      <c r="E8" s="5" t="s">
        <v>214</v>
      </c>
      <c r="F8" s="2" t="str">
        <f>HYPERLINK("https://stat100.ameba.jp/tnk47/ratio20/illustrations/card/ill_23533_fuyunojinseishinni03.jpg", "■")</f>
        <v>■</v>
      </c>
      <c r="G8" s="1" t="s">
        <v>59</v>
      </c>
      <c r="I8" s="1" t="s">
        <v>281</v>
      </c>
      <c r="J8" s="1">
        <v>9</v>
      </c>
      <c r="K8" s="1">
        <v>17053</v>
      </c>
      <c r="L8" s="1">
        <v>15130</v>
      </c>
      <c r="M8" s="1" t="s">
        <v>31</v>
      </c>
      <c r="N8" s="1" t="s">
        <v>32</v>
      </c>
    </row>
    <row r="9" spans="1:15">
      <c r="A9" s="1">
        <v>21493</v>
      </c>
      <c r="B9" s="1" t="s">
        <v>0</v>
      </c>
      <c r="C9" s="1" t="s">
        <v>4</v>
      </c>
      <c r="D9" s="1" t="s">
        <v>20</v>
      </c>
      <c r="E9" s="5" t="s">
        <v>215</v>
      </c>
      <c r="F9" s="2" t="str">
        <f>HYPERLINK("https://stat100.ameba.jp/tnk47/ratio20/illustrations/card/ill_21493_fuyunojintokugawahidetada03.jpg", "■")</f>
        <v>■</v>
      </c>
      <c r="G9" s="1" t="s">
        <v>58</v>
      </c>
      <c r="I9" s="1" t="s">
        <v>281</v>
      </c>
      <c r="J9" s="1">
        <v>9</v>
      </c>
      <c r="K9" s="1">
        <v>15130</v>
      </c>
      <c r="L9" s="1">
        <v>17053</v>
      </c>
      <c r="M9" s="1" t="s">
        <v>33</v>
      </c>
      <c r="N9" s="1" t="s">
        <v>34</v>
      </c>
    </row>
    <row r="10" spans="1:15">
      <c r="A10" s="1">
        <v>21503</v>
      </c>
      <c r="B10" s="1" t="s">
        <v>0</v>
      </c>
      <c r="C10" s="1" t="s">
        <v>6</v>
      </c>
      <c r="D10" s="1" t="s">
        <v>11</v>
      </c>
      <c r="E10" s="5" t="s">
        <v>216</v>
      </c>
      <c r="F10" s="2" t="str">
        <f>HYPERLINK("https://stat100.ameba.jp/tnk47/ratio20/illustrations/card/ill_21503_fuyunojintensuin03.jpg", "■")</f>
        <v>■</v>
      </c>
      <c r="G10" s="1" t="s">
        <v>57</v>
      </c>
      <c r="I10" s="1" t="s">
        <v>281</v>
      </c>
      <c r="J10" s="1">
        <v>9</v>
      </c>
      <c r="K10" s="1">
        <v>18270</v>
      </c>
      <c r="L10" s="1">
        <v>14079</v>
      </c>
      <c r="M10" s="1" t="s">
        <v>35</v>
      </c>
      <c r="N10" s="1" t="s">
        <v>36</v>
      </c>
    </row>
    <row r="11" spans="1:15">
      <c r="A11" s="1">
        <v>28773</v>
      </c>
      <c r="B11" s="1" t="s">
        <v>0</v>
      </c>
      <c r="C11" s="1" t="s">
        <v>7</v>
      </c>
      <c r="D11" s="1" t="s">
        <v>19</v>
      </c>
      <c r="E11" s="5" t="s">
        <v>217</v>
      </c>
      <c r="F11" s="2" t="str">
        <f>HYPERLINK("https://stat100.ameba.jp/tnk47/ratio20/illustrations/card/ill_28773_sanjosanetomi03.jpg", "■")</f>
        <v>■</v>
      </c>
      <c r="G11" s="1" t="s">
        <v>64</v>
      </c>
      <c r="I11" s="1" t="s">
        <v>281</v>
      </c>
      <c r="J11" s="1">
        <v>9</v>
      </c>
      <c r="K11" s="1">
        <v>18270</v>
      </c>
      <c r="L11" s="1">
        <v>18270</v>
      </c>
      <c r="M11" s="1" t="s">
        <v>37</v>
      </c>
      <c r="N11" s="1" t="s">
        <v>38</v>
      </c>
    </row>
    <row r="12" spans="1:15">
      <c r="A12" s="1">
        <v>21443</v>
      </c>
      <c r="B12" s="1" t="s">
        <v>0</v>
      </c>
      <c r="C12" s="1" t="s">
        <v>7</v>
      </c>
      <c r="D12" s="1" t="s">
        <v>11</v>
      </c>
      <c r="E12" s="5" t="s">
        <v>218</v>
      </c>
      <c r="F12" s="2" t="str">
        <f>HYPERLINK("https://stat100.ameba.jp/tnk47/ratio20/illustrations/card/ill_21443_fuyunojinsenhime03.jpg", "■")</f>
        <v>■</v>
      </c>
      <c r="G12" s="1" t="s">
        <v>125</v>
      </c>
      <c r="I12" s="1" t="s">
        <v>281</v>
      </c>
      <c r="J12" s="1">
        <v>9</v>
      </c>
      <c r="K12" s="1">
        <v>15130</v>
      </c>
      <c r="L12" s="1">
        <v>17053</v>
      </c>
      <c r="M12" s="1" t="s">
        <v>39</v>
      </c>
      <c r="N12" s="1" t="s">
        <v>40</v>
      </c>
    </row>
    <row r="13" spans="1:15">
      <c r="A13" s="1">
        <v>20623</v>
      </c>
      <c r="B13" s="1" t="s">
        <v>0</v>
      </c>
      <c r="C13" s="1" t="s">
        <v>8</v>
      </c>
      <c r="D13" s="1" t="s">
        <v>20</v>
      </c>
      <c r="E13" s="5" t="s">
        <v>219</v>
      </c>
      <c r="F13" s="2" t="str">
        <f>HYPERLINK("https://stat100.ameba.jp/tnk47/ratio20/illustrations/card/ill_20623_fuyunojinakashitakenori03.jpg", "■")</f>
        <v>■</v>
      </c>
      <c r="G13" s="1" t="s">
        <v>150</v>
      </c>
      <c r="I13" s="1" t="s">
        <v>272</v>
      </c>
      <c r="J13" s="1">
        <v>9</v>
      </c>
      <c r="K13" s="1">
        <v>17053</v>
      </c>
      <c r="L13" s="1">
        <v>15130</v>
      </c>
      <c r="M13" s="1" t="s">
        <v>41</v>
      </c>
      <c r="N13" s="1" t="s">
        <v>42</v>
      </c>
    </row>
    <row r="14" spans="1:15">
      <c r="A14" s="1">
        <v>21433</v>
      </c>
      <c r="B14" s="1" t="s">
        <v>0</v>
      </c>
      <c r="C14" s="1" t="s">
        <v>9</v>
      </c>
      <c r="D14" s="1" t="s">
        <v>11</v>
      </c>
      <c r="E14" s="5" t="s">
        <v>220</v>
      </c>
      <c r="F14" s="2" t="str">
        <f>HYPERLINK("https://stat100.ameba.jp/tnk47/ratio20/illustrations/card/ill_21433_fuyunojinokurakyonotsubone03.jpg", "■")</f>
        <v>■</v>
      </c>
      <c r="G14" s="1" t="s">
        <v>151</v>
      </c>
      <c r="I14" s="1" t="s">
        <v>272</v>
      </c>
      <c r="J14" s="1">
        <v>9</v>
      </c>
      <c r="K14" s="1">
        <v>14079</v>
      </c>
      <c r="L14" s="1">
        <v>18270</v>
      </c>
      <c r="M14" s="1" t="s">
        <v>43</v>
      </c>
      <c r="N14" s="1" t="s">
        <v>44</v>
      </c>
    </row>
    <row r="15" spans="1:15">
      <c r="E15" s="2"/>
      <c r="F15" s="2"/>
    </row>
    <row r="16" spans="1:15">
      <c r="A16" s="1">
        <v>21513</v>
      </c>
      <c r="B16" s="1" t="s">
        <v>26</v>
      </c>
      <c r="C16" s="1" t="s">
        <v>45</v>
      </c>
      <c r="D16" s="1" t="s">
        <v>11</v>
      </c>
      <c r="E16" s="5" t="s">
        <v>221</v>
      </c>
      <c r="F16" s="2" t="str">
        <f>HYPERLINK("https://stat100.ameba.jp/tnk47/ratio20/illustrations/card/ill_21513_fuyunojinosennokata03.jpg", "■")</f>
        <v>■</v>
      </c>
      <c r="G16" s="1" t="s">
        <v>203</v>
      </c>
      <c r="I16" s="1" t="s">
        <v>272</v>
      </c>
      <c r="J16" s="1">
        <v>9</v>
      </c>
      <c r="K16" s="1">
        <v>9514</v>
      </c>
      <c r="L16" s="1">
        <v>11329</v>
      </c>
      <c r="M16" s="1" t="s">
        <v>46</v>
      </c>
      <c r="N16" s="1" t="s">
        <v>47</v>
      </c>
    </row>
    <row r="17" spans="1:14">
      <c r="A17" s="1">
        <v>20593</v>
      </c>
      <c r="B17" s="1" t="s">
        <v>26</v>
      </c>
      <c r="C17" s="1" t="s">
        <v>48</v>
      </c>
      <c r="D17" s="1" t="s">
        <v>11</v>
      </c>
      <c r="E17" s="5" t="s">
        <v>222</v>
      </c>
      <c r="F17" s="2" t="str">
        <f>HYPERLINK("https://stat100.ameba.jp/tnk47/ratio20/illustrations/card/ill_20593_fuyunojinachanotsubone03.jpg", "■")</f>
        <v>■</v>
      </c>
      <c r="G17" s="1" t="s">
        <v>202</v>
      </c>
      <c r="I17" s="1" t="s">
        <v>272</v>
      </c>
      <c r="J17" s="1">
        <v>9</v>
      </c>
      <c r="K17" s="1">
        <v>9514</v>
      </c>
      <c r="L17" s="1">
        <v>11329</v>
      </c>
      <c r="M17" s="1" t="s">
        <v>49</v>
      </c>
      <c r="N17" s="1" t="s">
        <v>50</v>
      </c>
    </row>
    <row r="18" spans="1:14">
      <c r="A18" s="1">
        <v>7483</v>
      </c>
      <c r="B18" s="1" t="s">
        <v>26</v>
      </c>
      <c r="C18" s="1" t="s">
        <v>51</v>
      </c>
      <c r="D18" s="1" t="s">
        <v>20</v>
      </c>
      <c r="E18" s="5" t="s">
        <v>223</v>
      </c>
      <c r="F18" s="2" t="str">
        <f>HYPERLINK("https://stat100.ameba.jp/tnk47/ratio20/illustrations/card/ill_7483_fuyunojinhayakawanagamasa03.jpg", "■")</f>
        <v>■</v>
      </c>
      <c r="G18" s="1" t="s">
        <v>201</v>
      </c>
      <c r="I18" s="1" t="s">
        <v>272</v>
      </c>
      <c r="J18" s="1">
        <v>9</v>
      </c>
      <c r="K18" s="1">
        <v>9514</v>
      </c>
      <c r="L18" s="1">
        <v>11329</v>
      </c>
      <c r="M18" s="1" t="s">
        <v>52</v>
      </c>
      <c r="N18" s="1" t="s">
        <v>53</v>
      </c>
    </row>
    <row r="19" spans="1:14">
      <c r="A19" s="1">
        <v>21543</v>
      </c>
      <c r="B19" s="1" t="s">
        <v>26</v>
      </c>
      <c r="C19" s="1" t="s">
        <v>51</v>
      </c>
      <c r="D19" s="1" t="s">
        <v>20</v>
      </c>
      <c r="E19" s="5" t="s">
        <v>224</v>
      </c>
      <c r="F19" s="2" t="str">
        <f>HYPERLINK("https://stat100.ameba.jp/tnk47/ratio20/illustrations/card/ill_21543_fuyunojimmanoyorikane03.jpg", "■")</f>
        <v>■</v>
      </c>
      <c r="G19" s="1" t="s">
        <v>200</v>
      </c>
      <c r="I19" s="1" t="s">
        <v>272</v>
      </c>
      <c r="J19" s="1">
        <v>9</v>
      </c>
      <c r="K19" s="1">
        <v>11329</v>
      </c>
      <c r="L19" s="1">
        <v>9514</v>
      </c>
      <c r="M19" s="1" t="s">
        <v>54</v>
      </c>
      <c r="N19" s="1" t="s">
        <v>55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4AAA1-040B-4837-8281-DA1CDF2B964C}">
  <dimension ref="A1:O19"/>
  <sheetViews>
    <sheetView tabSelected="1"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1" customWidth="1"/>
    <col min="2" max="2" width="3.9140625" style="1" customWidth="1"/>
    <col min="3" max="3" width="12.33203125" style="1" customWidth="1"/>
    <col min="4" max="4" width="5.4140625" style="1" customWidth="1"/>
    <col min="5" max="5" width="30.9140625" style="1" customWidth="1"/>
    <col min="6" max="6" width="3.75" style="1" customWidth="1"/>
    <col min="7" max="7" width="30.9140625" style="1" hidden="1" customWidth="1"/>
    <col min="8" max="8" width="13" style="1" hidden="1" customWidth="1"/>
    <col min="9" max="9" width="17.33203125" style="1" hidden="1" customWidth="1"/>
    <col min="10" max="10" width="3.9140625" style="1" customWidth="1"/>
    <col min="11" max="12" width="7.08203125" style="1" customWidth="1"/>
    <col min="13" max="13" width="31" style="1" hidden="1" customWidth="1"/>
    <col min="14" max="14" width="70.9140625" style="1" customWidth="1"/>
    <col min="15" max="15" width="25.9140625" style="1" customWidth="1"/>
    <col min="16" max="16384" width="8.9140625" style="1"/>
  </cols>
  <sheetData>
    <row r="1" spans="1:15">
      <c r="A1" s="3" t="s">
        <v>126</v>
      </c>
      <c r="B1" s="3" t="s">
        <v>21</v>
      </c>
      <c r="C1" s="3" t="s">
        <v>13</v>
      </c>
      <c r="D1" s="4" t="s">
        <v>14</v>
      </c>
      <c r="E1" s="4" t="s">
        <v>15</v>
      </c>
      <c r="F1" s="4" t="s">
        <v>209</v>
      </c>
      <c r="G1" s="4" t="s">
        <v>153</v>
      </c>
      <c r="H1" s="4" t="s">
        <v>156</v>
      </c>
      <c r="I1" s="4" t="s">
        <v>16</v>
      </c>
      <c r="J1" s="4" t="s">
        <v>17</v>
      </c>
      <c r="K1" s="4" t="s">
        <v>155</v>
      </c>
      <c r="L1" s="4" t="s">
        <v>154</v>
      </c>
      <c r="M1" s="4" t="s">
        <v>18</v>
      </c>
      <c r="N1" s="4" t="s">
        <v>248</v>
      </c>
      <c r="O1" s="4" t="s">
        <v>250</v>
      </c>
    </row>
    <row r="2" spans="1:15">
      <c r="E2" s="2"/>
      <c r="F2" s="2"/>
    </row>
    <row r="3" spans="1:15">
      <c r="A3" s="1">
        <v>80323</v>
      </c>
      <c r="B3" s="1" t="s">
        <v>23</v>
      </c>
      <c r="C3" s="1" t="s">
        <v>22</v>
      </c>
      <c r="D3" s="1" t="s">
        <v>2</v>
      </c>
      <c r="E3" s="5" t="s">
        <v>234</v>
      </c>
      <c r="F3" s="2" t="str">
        <f>HYPERLINK("https://stat100.ameba.jp/tnk47/ratio20/illustrations/card/ill_80323_seibugekitokugawayoshinobu03.jpg", "■")</f>
        <v>■</v>
      </c>
      <c r="G3" s="1" t="s">
        <v>127</v>
      </c>
      <c r="H3" s="1" t="s">
        <v>134</v>
      </c>
      <c r="I3" s="1" t="s">
        <v>283</v>
      </c>
      <c r="J3" s="1">
        <v>13</v>
      </c>
      <c r="K3" s="1">
        <v>50779</v>
      </c>
      <c r="L3" s="1">
        <v>47195</v>
      </c>
      <c r="M3" s="1" t="s">
        <v>128</v>
      </c>
      <c r="N3" s="1" t="s">
        <v>129</v>
      </c>
      <c r="O3" s="1" t="s">
        <v>252</v>
      </c>
    </row>
    <row r="4" spans="1:15">
      <c r="A4" s="1">
        <v>80333</v>
      </c>
      <c r="B4" s="1" t="s">
        <v>10</v>
      </c>
      <c r="C4" s="1" t="s">
        <v>7</v>
      </c>
      <c r="D4" s="1" t="s">
        <v>3</v>
      </c>
      <c r="E4" s="5" t="s">
        <v>235</v>
      </c>
      <c r="F4" s="2" t="str">
        <f>HYPERLINK("https://stat100.ameba.jp/tnk47/ratio20/illustrations/card/ill_80333_basubaga03.jpg", "■")</f>
        <v>■</v>
      </c>
      <c r="G4" s="1" t="s">
        <v>130</v>
      </c>
      <c r="H4" s="1" t="s">
        <v>135</v>
      </c>
      <c r="I4" s="1" t="s">
        <v>137</v>
      </c>
      <c r="J4" s="1">
        <v>7</v>
      </c>
      <c r="K4" s="1">
        <v>18818</v>
      </c>
      <c r="L4" s="1">
        <v>20748</v>
      </c>
      <c r="M4" s="1" t="s">
        <v>131</v>
      </c>
      <c r="N4" s="1" t="s">
        <v>259</v>
      </c>
    </row>
    <row r="5" spans="1:15">
      <c r="A5" s="1">
        <v>80343</v>
      </c>
      <c r="B5" s="1" t="s">
        <v>0</v>
      </c>
      <c r="C5" s="1" t="s">
        <v>132</v>
      </c>
      <c r="D5" s="1" t="s">
        <v>5</v>
      </c>
      <c r="E5" s="5" t="s">
        <v>236</v>
      </c>
      <c r="F5" s="2" t="str">
        <f>HYPERLINK("https://stat100.ameba.jp/tnk47/ratio20/illustrations/card/ill_80343_shimazutakahisa03.jpg", "■")</f>
        <v>■</v>
      </c>
      <c r="G5" s="1" t="s">
        <v>139</v>
      </c>
      <c r="H5" s="1" t="s">
        <v>136</v>
      </c>
      <c r="I5" s="1" t="s">
        <v>138</v>
      </c>
      <c r="J5" s="1">
        <v>9</v>
      </c>
      <c r="K5" s="1">
        <v>18712</v>
      </c>
      <c r="L5" s="1">
        <v>15559</v>
      </c>
      <c r="M5" s="1" t="s">
        <v>133</v>
      </c>
      <c r="N5" s="1" t="s">
        <v>28</v>
      </c>
    </row>
    <row r="6" spans="1:15">
      <c r="E6" s="2"/>
      <c r="F6" s="2"/>
    </row>
    <row r="7" spans="1:15">
      <c r="A7" s="1">
        <v>27373</v>
      </c>
      <c r="B7" s="1" t="s">
        <v>0</v>
      </c>
      <c r="C7" s="1" t="s">
        <v>1</v>
      </c>
      <c r="D7" s="1" t="s">
        <v>19</v>
      </c>
      <c r="E7" s="5" t="s">
        <v>213</v>
      </c>
      <c r="F7" s="2" t="str">
        <f>HYPERLINK("https://stat100.ameba.jp/tnk47/ratio20/illustrations/card/ill_27373_bakumatsujoketsuniijimayae03.jpg", "■")</f>
        <v>■</v>
      </c>
      <c r="G7" s="1" t="s">
        <v>60</v>
      </c>
      <c r="I7" s="1" t="s">
        <v>281</v>
      </c>
      <c r="J7" s="1">
        <v>9</v>
      </c>
      <c r="K7" s="1">
        <v>14079</v>
      </c>
      <c r="L7" s="1">
        <v>18270</v>
      </c>
      <c r="M7" s="1" t="s">
        <v>29</v>
      </c>
      <c r="N7" s="1" t="s">
        <v>30</v>
      </c>
    </row>
    <row r="8" spans="1:15">
      <c r="A8" s="1">
        <v>23533</v>
      </c>
      <c r="B8" s="1" t="s">
        <v>0</v>
      </c>
      <c r="C8" s="1" t="s">
        <v>1</v>
      </c>
      <c r="D8" s="1" t="s">
        <v>11</v>
      </c>
      <c r="E8" s="5" t="s">
        <v>214</v>
      </c>
      <c r="F8" s="2" t="str">
        <f>HYPERLINK("https://stat100.ameba.jp/tnk47/ratio20/illustrations/card/ill_23533_fuyunojinseishinni03.jpg", "■")</f>
        <v>■</v>
      </c>
      <c r="G8" s="1" t="s">
        <v>59</v>
      </c>
      <c r="I8" s="1" t="s">
        <v>281</v>
      </c>
      <c r="J8" s="1">
        <v>9</v>
      </c>
      <c r="K8" s="1">
        <v>17053</v>
      </c>
      <c r="L8" s="1">
        <v>15130</v>
      </c>
      <c r="M8" s="1" t="s">
        <v>31</v>
      </c>
      <c r="N8" s="1" t="s">
        <v>32</v>
      </c>
    </row>
    <row r="9" spans="1:15">
      <c r="A9" s="1">
        <v>21493</v>
      </c>
      <c r="B9" s="1" t="s">
        <v>0</v>
      </c>
      <c r="C9" s="1" t="s">
        <v>4</v>
      </c>
      <c r="D9" s="1" t="s">
        <v>20</v>
      </c>
      <c r="E9" s="5" t="s">
        <v>215</v>
      </c>
      <c r="F9" s="2" t="str">
        <f>HYPERLINK("https://stat100.ameba.jp/tnk47/ratio20/illustrations/card/ill_21493_fuyunojintokugawahidetada03.jpg", "■")</f>
        <v>■</v>
      </c>
      <c r="G9" s="1" t="s">
        <v>58</v>
      </c>
      <c r="I9" s="1" t="s">
        <v>281</v>
      </c>
      <c r="J9" s="1">
        <v>9</v>
      </c>
      <c r="K9" s="1">
        <v>15130</v>
      </c>
      <c r="L9" s="1">
        <v>17053</v>
      </c>
      <c r="M9" s="1" t="s">
        <v>33</v>
      </c>
      <c r="N9" s="1" t="s">
        <v>34</v>
      </c>
    </row>
    <row r="10" spans="1:15">
      <c r="A10" s="1">
        <v>21503</v>
      </c>
      <c r="B10" s="1" t="s">
        <v>0</v>
      </c>
      <c r="C10" s="1" t="s">
        <v>6</v>
      </c>
      <c r="D10" s="1" t="s">
        <v>11</v>
      </c>
      <c r="E10" s="5" t="s">
        <v>216</v>
      </c>
      <c r="F10" s="2" t="str">
        <f>HYPERLINK("https://stat100.ameba.jp/tnk47/ratio20/illustrations/card/ill_21503_fuyunojintensuin03.jpg", "■")</f>
        <v>■</v>
      </c>
      <c r="G10" s="1" t="s">
        <v>57</v>
      </c>
      <c r="I10" s="1" t="s">
        <v>281</v>
      </c>
      <c r="J10" s="1">
        <v>9</v>
      </c>
      <c r="K10" s="1">
        <v>18270</v>
      </c>
      <c r="L10" s="1">
        <v>14079</v>
      </c>
      <c r="M10" s="1" t="s">
        <v>35</v>
      </c>
      <c r="N10" s="1" t="s">
        <v>36</v>
      </c>
    </row>
    <row r="11" spans="1:15">
      <c r="A11" s="1">
        <v>28773</v>
      </c>
      <c r="B11" s="1" t="s">
        <v>0</v>
      </c>
      <c r="C11" s="1" t="s">
        <v>7</v>
      </c>
      <c r="D11" s="1" t="s">
        <v>19</v>
      </c>
      <c r="E11" s="5" t="s">
        <v>217</v>
      </c>
      <c r="F11" s="2" t="str">
        <f>HYPERLINK("https://stat100.ameba.jp/tnk47/ratio20/illustrations/card/ill_28773_sanjosanetomi03.jpg", "■")</f>
        <v>■</v>
      </c>
      <c r="G11" s="1" t="s">
        <v>64</v>
      </c>
      <c r="I11" s="1" t="s">
        <v>281</v>
      </c>
      <c r="J11" s="1">
        <v>9</v>
      </c>
      <c r="K11" s="1">
        <v>18270</v>
      </c>
      <c r="L11" s="1">
        <v>18270</v>
      </c>
      <c r="M11" s="1" t="s">
        <v>37</v>
      </c>
      <c r="N11" s="1" t="s">
        <v>38</v>
      </c>
    </row>
    <row r="12" spans="1:15">
      <c r="A12" s="1">
        <v>21443</v>
      </c>
      <c r="B12" s="1" t="s">
        <v>0</v>
      </c>
      <c r="C12" s="1" t="s">
        <v>7</v>
      </c>
      <c r="D12" s="1" t="s">
        <v>11</v>
      </c>
      <c r="E12" s="5" t="s">
        <v>218</v>
      </c>
      <c r="F12" s="2" t="str">
        <f>HYPERLINK("https://stat100.ameba.jp/tnk47/ratio20/illustrations/card/ill_21443_fuyunojinsenhime03.jpg", "■")</f>
        <v>■</v>
      </c>
      <c r="G12" s="1" t="s">
        <v>125</v>
      </c>
      <c r="I12" s="1" t="s">
        <v>281</v>
      </c>
      <c r="J12" s="1">
        <v>9</v>
      </c>
      <c r="K12" s="1">
        <v>15130</v>
      </c>
      <c r="L12" s="1">
        <v>17053</v>
      </c>
      <c r="M12" s="1" t="s">
        <v>39</v>
      </c>
      <c r="N12" s="1" t="s">
        <v>40</v>
      </c>
    </row>
    <row r="13" spans="1:15">
      <c r="A13" s="1">
        <v>20623</v>
      </c>
      <c r="B13" s="1" t="s">
        <v>0</v>
      </c>
      <c r="C13" s="1" t="s">
        <v>8</v>
      </c>
      <c r="D13" s="1" t="s">
        <v>20</v>
      </c>
      <c r="E13" s="5" t="s">
        <v>219</v>
      </c>
      <c r="F13" s="2" t="str">
        <f>HYPERLINK("https://stat100.ameba.jp/tnk47/ratio20/illustrations/card/ill_20623_fuyunojinakashitakenori03.jpg", "■")</f>
        <v>■</v>
      </c>
      <c r="G13" s="1" t="s">
        <v>150</v>
      </c>
      <c r="H13" s="1" t="s">
        <v>69</v>
      </c>
      <c r="I13" s="1" t="s">
        <v>272</v>
      </c>
      <c r="J13" s="1">
        <v>9</v>
      </c>
      <c r="K13" s="1">
        <v>17053</v>
      </c>
      <c r="L13" s="1">
        <v>15130</v>
      </c>
      <c r="M13" s="1" t="s">
        <v>41</v>
      </c>
      <c r="N13" s="1" t="s">
        <v>42</v>
      </c>
    </row>
    <row r="14" spans="1:15">
      <c r="A14" s="1">
        <v>21433</v>
      </c>
      <c r="B14" s="1" t="s">
        <v>0</v>
      </c>
      <c r="C14" s="1" t="s">
        <v>9</v>
      </c>
      <c r="D14" s="1" t="s">
        <v>11</v>
      </c>
      <c r="E14" s="5" t="s">
        <v>220</v>
      </c>
      <c r="F14" s="2" t="str">
        <f>HYPERLINK("https://stat100.ameba.jp/tnk47/ratio20/illustrations/card/ill_21433_fuyunojinokurakyonotsubone03.jpg", "■")</f>
        <v>■</v>
      </c>
      <c r="G14" s="1" t="s">
        <v>151</v>
      </c>
      <c r="I14" s="1" t="s">
        <v>272</v>
      </c>
      <c r="J14" s="1">
        <v>9</v>
      </c>
      <c r="K14" s="1">
        <v>14079</v>
      </c>
      <c r="L14" s="1">
        <v>18270</v>
      </c>
      <c r="M14" s="1" t="s">
        <v>43</v>
      </c>
      <c r="N14" s="1" t="s">
        <v>44</v>
      </c>
    </row>
    <row r="15" spans="1:15">
      <c r="E15" s="2"/>
      <c r="F15" s="2"/>
    </row>
    <row r="16" spans="1:15">
      <c r="A16" s="1">
        <v>21513</v>
      </c>
      <c r="B16" s="1" t="s">
        <v>26</v>
      </c>
      <c r="C16" s="1" t="s">
        <v>45</v>
      </c>
      <c r="D16" s="1" t="s">
        <v>11</v>
      </c>
      <c r="E16" s="5" t="s">
        <v>221</v>
      </c>
      <c r="F16" s="2" t="str">
        <f>HYPERLINK("https://stat100.ameba.jp/tnk47/ratio20/illustrations/card/ill_21513_fuyunojinosennokata03.jpg", "■")</f>
        <v>■</v>
      </c>
      <c r="G16" s="1" t="s">
        <v>203</v>
      </c>
      <c r="I16" s="1" t="s">
        <v>272</v>
      </c>
      <c r="J16" s="1">
        <v>9</v>
      </c>
      <c r="K16" s="1">
        <v>9514</v>
      </c>
      <c r="L16" s="1">
        <v>11329</v>
      </c>
      <c r="M16" s="1" t="s">
        <v>46</v>
      </c>
      <c r="N16" s="1" t="s">
        <v>47</v>
      </c>
    </row>
    <row r="17" spans="1:14">
      <c r="A17" s="1">
        <v>20593</v>
      </c>
      <c r="B17" s="1" t="s">
        <v>26</v>
      </c>
      <c r="C17" s="1" t="s">
        <v>48</v>
      </c>
      <c r="D17" s="1" t="s">
        <v>11</v>
      </c>
      <c r="E17" s="5" t="s">
        <v>222</v>
      </c>
      <c r="F17" s="2" t="str">
        <f>HYPERLINK("https://stat100.ameba.jp/tnk47/ratio20/illustrations/card/ill_20593_fuyunojinachanotsubone03.jpg", "■")</f>
        <v>■</v>
      </c>
      <c r="G17" s="1" t="s">
        <v>202</v>
      </c>
      <c r="I17" s="1" t="s">
        <v>272</v>
      </c>
      <c r="J17" s="1">
        <v>9</v>
      </c>
      <c r="K17" s="1">
        <v>9514</v>
      </c>
      <c r="L17" s="1">
        <v>11329</v>
      </c>
      <c r="M17" s="1" t="s">
        <v>49</v>
      </c>
      <c r="N17" s="1" t="s">
        <v>50</v>
      </c>
    </row>
    <row r="18" spans="1:14">
      <c r="A18" s="1">
        <v>7483</v>
      </c>
      <c r="B18" s="1" t="s">
        <v>26</v>
      </c>
      <c r="C18" s="1" t="s">
        <v>51</v>
      </c>
      <c r="D18" s="1" t="s">
        <v>20</v>
      </c>
      <c r="E18" s="5" t="s">
        <v>223</v>
      </c>
      <c r="F18" s="2" t="str">
        <f>HYPERLINK("https://stat100.ameba.jp/tnk47/ratio20/illustrations/card/ill_7483_fuyunojinhayakawanagamasa03.jpg", "■")</f>
        <v>■</v>
      </c>
      <c r="G18" s="1" t="s">
        <v>201</v>
      </c>
      <c r="I18" s="1" t="s">
        <v>272</v>
      </c>
      <c r="J18" s="1">
        <v>9</v>
      </c>
      <c r="K18" s="1">
        <v>9514</v>
      </c>
      <c r="L18" s="1">
        <v>11329</v>
      </c>
      <c r="M18" s="1" t="s">
        <v>52</v>
      </c>
      <c r="N18" s="1" t="s">
        <v>53</v>
      </c>
    </row>
    <row r="19" spans="1:14">
      <c r="A19" s="1">
        <v>21543</v>
      </c>
      <c r="B19" s="1" t="s">
        <v>26</v>
      </c>
      <c r="C19" s="1" t="s">
        <v>51</v>
      </c>
      <c r="D19" s="1" t="s">
        <v>20</v>
      </c>
      <c r="E19" s="5" t="s">
        <v>224</v>
      </c>
      <c r="F19" s="2" t="str">
        <f>HYPERLINK("https://stat100.ameba.jp/tnk47/ratio20/illustrations/card/ill_21543_fuyunojimmanoyorikane03.jpg", "■")</f>
        <v>■</v>
      </c>
      <c r="G19" s="1" t="s">
        <v>200</v>
      </c>
      <c r="I19" s="1" t="s">
        <v>272</v>
      </c>
      <c r="J19" s="1">
        <v>9</v>
      </c>
      <c r="K19" s="1">
        <v>11329</v>
      </c>
      <c r="L19" s="1">
        <v>9514</v>
      </c>
      <c r="M19" s="1" t="s">
        <v>54</v>
      </c>
      <c r="N19" s="1" t="s">
        <v>55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5421-7FCE-4380-BEDB-280E075E2027}">
  <dimension ref="A1:O19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1" customWidth="1"/>
    <col min="2" max="2" width="3.9140625" style="1" customWidth="1"/>
    <col min="3" max="3" width="12.33203125" style="1" customWidth="1"/>
    <col min="4" max="4" width="5.4140625" style="1" customWidth="1"/>
    <col min="5" max="5" width="30.9140625" style="1" customWidth="1"/>
    <col min="6" max="6" width="3.75" style="1" customWidth="1"/>
    <col min="7" max="7" width="30.9140625" style="1" hidden="1" customWidth="1"/>
    <col min="8" max="8" width="12.9140625" style="1" hidden="1" customWidth="1"/>
    <col min="9" max="9" width="17.33203125" style="1" hidden="1" customWidth="1"/>
    <col min="10" max="10" width="3.9140625" style="1" customWidth="1"/>
    <col min="11" max="12" width="7.08203125" style="1" customWidth="1"/>
    <col min="13" max="13" width="31" style="1" hidden="1" customWidth="1"/>
    <col min="14" max="14" width="70.9140625" style="1" customWidth="1"/>
    <col min="15" max="15" width="25.9140625" style="1" customWidth="1"/>
    <col min="16" max="16384" width="8.9140625" style="1"/>
  </cols>
  <sheetData>
    <row r="1" spans="1:15">
      <c r="A1" s="3" t="s">
        <v>126</v>
      </c>
      <c r="B1" s="3" t="s">
        <v>21</v>
      </c>
      <c r="C1" s="3" t="s">
        <v>13</v>
      </c>
      <c r="D1" s="4" t="s">
        <v>14</v>
      </c>
      <c r="E1" s="4" t="s">
        <v>15</v>
      </c>
      <c r="F1" s="4" t="s">
        <v>209</v>
      </c>
      <c r="G1" s="4" t="s">
        <v>153</v>
      </c>
      <c r="H1" s="4" t="s">
        <v>156</v>
      </c>
      <c r="I1" s="4" t="s">
        <v>16</v>
      </c>
      <c r="J1" s="4" t="s">
        <v>17</v>
      </c>
      <c r="K1" s="4" t="s">
        <v>155</v>
      </c>
      <c r="L1" s="4" t="s">
        <v>154</v>
      </c>
      <c r="M1" s="4" t="s">
        <v>18</v>
      </c>
      <c r="N1" s="4" t="s">
        <v>248</v>
      </c>
      <c r="O1" s="4" t="s">
        <v>250</v>
      </c>
    </row>
    <row r="2" spans="1:15">
      <c r="E2" s="2"/>
      <c r="F2" s="2"/>
    </row>
    <row r="3" spans="1:15">
      <c r="A3" s="1">
        <v>81463</v>
      </c>
      <c r="B3" s="1" t="s">
        <v>23</v>
      </c>
      <c r="C3" s="1" t="s">
        <v>22</v>
      </c>
      <c r="D3" s="1" t="s">
        <v>144</v>
      </c>
      <c r="E3" s="5" t="s">
        <v>237</v>
      </c>
      <c r="F3" s="2" t="str">
        <f>HYPERLINK("https://stat100.ameba.jp/tnk47/ratio20/illustrations/card/ill_81463_puchidebiruhokkaidobatachan03.jpg", "■")</f>
        <v>■</v>
      </c>
      <c r="G3" s="1" t="s">
        <v>188</v>
      </c>
      <c r="H3" s="1" t="s">
        <v>163</v>
      </c>
      <c r="I3" s="1" t="s">
        <v>278</v>
      </c>
      <c r="J3" s="1">
        <v>13</v>
      </c>
      <c r="K3" s="1">
        <v>61393</v>
      </c>
      <c r="L3" s="1">
        <v>57088</v>
      </c>
      <c r="M3" s="1" t="s">
        <v>145</v>
      </c>
      <c r="N3" s="1" t="s">
        <v>266</v>
      </c>
      <c r="O3" s="1" t="s">
        <v>253</v>
      </c>
    </row>
    <row r="4" spans="1:15">
      <c r="A4" s="1">
        <v>81473</v>
      </c>
      <c r="B4" s="1" t="s">
        <v>10</v>
      </c>
      <c r="C4" s="1" t="s">
        <v>9</v>
      </c>
      <c r="D4" s="1" t="s">
        <v>144</v>
      </c>
      <c r="E4" s="5" t="s">
        <v>238</v>
      </c>
      <c r="F4" s="2" t="str">
        <f>HYPERLINK("https://stat100.ameba.jp/tnk47/ratio20/illustrations/card/ill_81473_shirayukihimechokoretokeki03.jpg", "■")</f>
        <v>■</v>
      </c>
      <c r="G4" s="1" t="s">
        <v>185</v>
      </c>
      <c r="H4" s="1" t="s">
        <v>164</v>
      </c>
      <c r="I4" s="1" t="s">
        <v>186</v>
      </c>
      <c r="J4" s="1">
        <v>7</v>
      </c>
      <c r="K4" s="1">
        <v>18818</v>
      </c>
      <c r="L4" s="1">
        <v>20748</v>
      </c>
      <c r="M4" s="1" t="s">
        <v>146</v>
      </c>
      <c r="N4" s="1" t="s">
        <v>259</v>
      </c>
      <c r="O4" s="1" t="s">
        <v>287</v>
      </c>
    </row>
    <row r="5" spans="1:15">
      <c r="A5" s="1">
        <v>81483</v>
      </c>
      <c r="B5" s="1" t="s">
        <v>0</v>
      </c>
      <c r="C5" s="1" t="s">
        <v>8</v>
      </c>
      <c r="D5" s="1" t="s">
        <v>144</v>
      </c>
      <c r="E5" s="5" t="s">
        <v>239</v>
      </c>
      <c r="F5" s="2" t="str">
        <f>HYPERLINK("https://stat100.ameba.jp/tnk47/ratio20/illustrations/card/ill_81483_monsutakamomiruteichan03.jpg", "■")</f>
        <v>■</v>
      </c>
      <c r="G5" s="1" t="s">
        <v>184</v>
      </c>
      <c r="H5" s="1" t="s">
        <v>165</v>
      </c>
      <c r="I5" s="1" t="s">
        <v>183</v>
      </c>
      <c r="J5" s="1">
        <v>9</v>
      </c>
      <c r="K5" s="1">
        <v>18712</v>
      </c>
      <c r="L5" s="1">
        <v>15559</v>
      </c>
      <c r="M5" s="1" t="s">
        <v>147</v>
      </c>
      <c r="N5" s="1" t="s">
        <v>148</v>
      </c>
    </row>
    <row r="6" spans="1:15">
      <c r="E6" s="2"/>
      <c r="F6" s="2"/>
    </row>
    <row r="7" spans="1:15">
      <c r="A7" s="1">
        <v>27373</v>
      </c>
      <c r="B7" s="1" t="s">
        <v>0</v>
      </c>
      <c r="C7" s="1" t="s">
        <v>1</v>
      </c>
      <c r="D7" s="1" t="s">
        <v>19</v>
      </c>
      <c r="E7" s="5" t="s">
        <v>213</v>
      </c>
      <c r="F7" s="2" t="str">
        <f>HYPERLINK("https://stat100.ameba.jp/tnk47/ratio20/illustrations/card/ill_27373_bakumatsujoketsuniijimayae03.jpg", "■")</f>
        <v>■</v>
      </c>
      <c r="G7" s="1" t="s">
        <v>60</v>
      </c>
      <c r="I7" s="1" t="s">
        <v>281</v>
      </c>
      <c r="J7" s="1">
        <v>9</v>
      </c>
      <c r="K7" s="1">
        <v>14079</v>
      </c>
      <c r="L7" s="1">
        <v>18270</v>
      </c>
      <c r="M7" s="1" t="s">
        <v>29</v>
      </c>
      <c r="N7" s="1" t="s">
        <v>30</v>
      </c>
    </row>
    <row r="8" spans="1:15">
      <c r="A8" s="1">
        <v>23533</v>
      </c>
      <c r="B8" s="1" t="s">
        <v>0</v>
      </c>
      <c r="C8" s="1" t="s">
        <v>1</v>
      </c>
      <c r="D8" s="1" t="s">
        <v>11</v>
      </c>
      <c r="E8" s="5" t="s">
        <v>214</v>
      </c>
      <c r="F8" s="2" t="str">
        <f>HYPERLINK("https://stat100.ameba.jp/tnk47/ratio20/illustrations/card/ill_23533_fuyunojinseishinni03.jpg", "■")</f>
        <v>■</v>
      </c>
      <c r="G8" s="1" t="s">
        <v>59</v>
      </c>
      <c r="I8" s="1" t="s">
        <v>281</v>
      </c>
      <c r="J8" s="1">
        <v>9</v>
      </c>
      <c r="K8" s="1">
        <v>17053</v>
      </c>
      <c r="L8" s="1">
        <v>15130</v>
      </c>
      <c r="M8" s="1" t="s">
        <v>31</v>
      </c>
      <c r="N8" s="1" t="s">
        <v>32</v>
      </c>
    </row>
    <row r="9" spans="1:15">
      <c r="A9" s="1">
        <v>21493</v>
      </c>
      <c r="B9" s="1" t="s">
        <v>0</v>
      </c>
      <c r="C9" s="1" t="s">
        <v>4</v>
      </c>
      <c r="D9" s="1" t="s">
        <v>20</v>
      </c>
      <c r="E9" s="5" t="s">
        <v>215</v>
      </c>
      <c r="F9" s="2" t="str">
        <f>HYPERLINK("https://stat100.ameba.jp/tnk47/ratio20/illustrations/card/ill_21493_fuyunojintokugawahidetada03.jpg", "■")</f>
        <v>■</v>
      </c>
      <c r="G9" s="1" t="s">
        <v>58</v>
      </c>
      <c r="I9" s="1" t="s">
        <v>281</v>
      </c>
      <c r="J9" s="1">
        <v>9</v>
      </c>
      <c r="K9" s="1">
        <v>15130</v>
      </c>
      <c r="L9" s="1">
        <v>17053</v>
      </c>
      <c r="M9" s="1" t="s">
        <v>33</v>
      </c>
      <c r="N9" s="1" t="s">
        <v>34</v>
      </c>
    </row>
    <row r="10" spans="1:15">
      <c r="A10" s="1">
        <v>21503</v>
      </c>
      <c r="B10" s="1" t="s">
        <v>0</v>
      </c>
      <c r="C10" s="1" t="s">
        <v>6</v>
      </c>
      <c r="D10" s="1" t="s">
        <v>11</v>
      </c>
      <c r="E10" s="5" t="s">
        <v>216</v>
      </c>
      <c r="F10" s="2" t="str">
        <f>HYPERLINK("https://stat100.ameba.jp/tnk47/ratio20/illustrations/card/ill_21503_fuyunojintensuin03.jpg", "■")</f>
        <v>■</v>
      </c>
      <c r="G10" s="1" t="s">
        <v>57</v>
      </c>
      <c r="I10" s="1" t="s">
        <v>281</v>
      </c>
      <c r="J10" s="1">
        <v>9</v>
      </c>
      <c r="K10" s="1">
        <v>18270</v>
      </c>
      <c r="L10" s="1">
        <v>14079</v>
      </c>
      <c r="M10" s="1" t="s">
        <v>35</v>
      </c>
      <c r="N10" s="1" t="s">
        <v>36</v>
      </c>
    </row>
    <row r="11" spans="1:15">
      <c r="A11" s="1">
        <v>28773</v>
      </c>
      <c r="B11" s="1" t="s">
        <v>0</v>
      </c>
      <c r="C11" s="1" t="s">
        <v>7</v>
      </c>
      <c r="D11" s="1" t="s">
        <v>19</v>
      </c>
      <c r="E11" s="5" t="s">
        <v>217</v>
      </c>
      <c r="F11" s="2" t="str">
        <f>HYPERLINK("https://stat100.ameba.jp/tnk47/ratio20/illustrations/card/ill_28773_sanjosanetomi03.jpg", "■")</f>
        <v>■</v>
      </c>
      <c r="G11" s="1" t="s">
        <v>64</v>
      </c>
      <c r="I11" s="1" t="s">
        <v>281</v>
      </c>
      <c r="J11" s="1">
        <v>9</v>
      </c>
      <c r="K11" s="1">
        <v>18270</v>
      </c>
      <c r="L11" s="1">
        <v>18270</v>
      </c>
      <c r="M11" s="1" t="s">
        <v>37</v>
      </c>
      <c r="N11" s="1" t="s">
        <v>38</v>
      </c>
    </row>
    <row r="12" spans="1:15">
      <c r="A12" s="1">
        <v>21443</v>
      </c>
      <c r="B12" s="1" t="s">
        <v>0</v>
      </c>
      <c r="C12" s="1" t="s">
        <v>7</v>
      </c>
      <c r="D12" s="1" t="s">
        <v>11</v>
      </c>
      <c r="E12" s="5" t="s">
        <v>218</v>
      </c>
      <c r="F12" s="2" t="str">
        <f>HYPERLINK("https://stat100.ameba.jp/tnk47/ratio20/illustrations/card/ill_21443_fuyunojinsenhime03.jpg", "■")</f>
        <v>■</v>
      </c>
      <c r="G12" s="1" t="s">
        <v>125</v>
      </c>
      <c r="I12" s="1" t="s">
        <v>281</v>
      </c>
      <c r="J12" s="1">
        <v>9</v>
      </c>
      <c r="K12" s="1">
        <v>15130</v>
      </c>
      <c r="L12" s="1">
        <v>17053</v>
      </c>
      <c r="M12" s="1" t="s">
        <v>39</v>
      </c>
      <c r="N12" s="1" t="s">
        <v>40</v>
      </c>
    </row>
    <row r="13" spans="1:15">
      <c r="A13" s="1">
        <v>20623</v>
      </c>
      <c r="B13" s="1" t="s">
        <v>0</v>
      </c>
      <c r="C13" s="1" t="s">
        <v>8</v>
      </c>
      <c r="D13" s="1" t="s">
        <v>20</v>
      </c>
      <c r="E13" s="5" t="s">
        <v>219</v>
      </c>
      <c r="F13" s="2" t="str">
        <f>HYPERLINK("https://stat100.ameba.jp/tnk47/ratio20/illustrations/card/ill_20623_fuyunojinakashitakenori03.jpg", "■")</f>
        <v>■</v>
      </c>
      <c r="G13" s="1" t="s">
        <v>149</v>
      </c>
      <c r="H13" s="1" t="s">
        <v>142</v>
      </c>
      <c r="I13" s="1" t="s">
        <v>275</v>
      </c>
      <c r="J13" s="1">
        <v>9</v>
      </c>
      <c r="K13" s="1">
        <v>17053</v>
      </c>
      <c r="L13" s="1">
        <v>15130</v>
      </c>
      <c r="M13" s="1" t="s">
        <v>41</v>
      </c>
      <c r="N13" s="1" t="s">
        <v>42</v>
      </c>
    </row>
    <row r="14" spans="1:15">
      <c r="A14" s="1">
        <v>21433</v>
      </c>
      <c r="B14" s="1" t="s">
        <v>0</v>
      </c>
      <c r="C14" s="1" t="s">
        <v>9</v>
      </c>
      <c r="D14" s="1" t="s">
        <v>11</v>
      </c>
      <c r="E14" s="5" t="s">
        <v>220</v>
      </c>
      <c r="F14" s="2" t="str">
        <f>HYPERLINK("https://stat100.ameba.jp/tnk47/ratio20/illustrations/card/ill_21433_fuyunojinokurakyonotsubone03.jpg", "■")</f>
        <v>■</v>
      </c>
      <c r="G14" s="1" t="s">
        <v>152</v>
      </c>
      <c r="H14" s="1" t="s">
        <v>143</v>
      </c>
      <c r="I14" s="1" t="s">
        <v>276</v>
      </c>
      <c r="J14" s="1">
        <v>9</v>
      </c>
      <c r="K14" s="1">
        <v>14079</v>
      </c>
      <c r="L14" s="1">
        <v>18270</v>
      </c>
      <c r="M14" s="1" t="s">
        <v>43</v>
      </c>
      <c r="N14" s="1" t="s">
        <v>44</v>
      </c>
    </row>
    <row r="15" spans="1:15">
      <c r="E15" s="2"/>
      <c r="F15" s="2"/>
    </row>
    <row r="16" spans="1:15">
      <c r="A16" s="1">
        <v>21513</v>
      </c>
      <c r="B16" s="1" t="s">
        <v>26</v>
      </c>
      <c r="C16" s="1" t="s">
        <v>45</v>
      </c>
      <c r="D16" s="1" t="s">
        <v>11</v>
      </c>
      <c r="E16" s="5" t="s">
        <v>221</v>
      </c>
      <c r="F16" s="2" t="str">
        <f>HYPERLINK("https://stat100.ameba.jp/tnk47/ratio20/illustrations/card/ill_21513_fuyunojinosennokata03.jpg", "■")</f>
        <v>■</v>
      </c>
      <c r="G16" s="1" t="s">
        <v>203</v>
      </c>
      <c r="I16" s="1" t="s">
        <v>272</v>
      </c>
      <c r="J16" s="1">
        <v>9</v>
      </c>
      <c r="K16" s="1">
        <v>9514</v>
      </c>
      <c r="L16" s="1">
        <v>11329</v>
      </c>
      <c r="M16" s="1" t="s">
        <v>46</v>
      </c>
      <c r="N16" s="1" t="s">
        <v>47</v>
      </c>
    </row>
    <row r="17" spans="1:14">
      <c r="A17" s="1">
        <v>20593</v>
      </c>
      <c r="B17" s="1" t="s">
        <v>26</v>
      </c>
      <c r="C17" s="1" t="s">
        <v>48</v>
      </c>
      <c r="D17" s="1" t="s">
        <v>11</v>
      </c>
      <c r="E17" s="5" t="s">
        <v>222</v>
      </c>
      <c r="F17" s="2" t="str">
        <f>HYPERLINK("https://stat100.ameba.jp/tnk47/ratio20/illustrations/card/ill_20593_fuyunojinachanotsubone03.jpg", "■")</f>
        <v>■</v>
      </c>
      <c r="G17" s="1" t="s">
        <v>202</v>
      </c>
      <c r="I17" s="1" t="s">
        <v>272</v>
      </c>
      <c r="J17" s="1">
        <v>9</v>
      </c>
      <c r="K17" s="1">
        <v>9514</v>
      </c>
      <c r="L17" s="1">
        <v>11329</v>
      </c>
      <c r="M17" s="1" t="s">
        <v>49</v>
      </c>
      <c r="N17" s="1" t="s">
        <v>50</v>
      </c>
    </row>
    <row r="18" spans="1:14">
      <c r="A18" s="1">
        <v>7483</v>
      </c>
      <c r="B18" s="1" t="s">
        <v>26</v>
      </c>
      <c r="C18" s="1" t="s">
        <v>51</v>
      </c>
      <c r="D18" s="1" t="s">
        <v>20</v>
      </c>
      <c r="E18" s="5" t="s">
        <v>223</v>
      </c>
      <c r="F18" s="2" t="str">
        <f>HYPERLINK("https://stat100.ameba.jp/tnk47/ratio20/illustrations/card/ill_7483_fuyunojinhayakawanagamasa03.jpg", "■")</f>
        <v>■</v>
      </c>
      <c r="G18" s="1" t="s">
        <v>201</v>
      </c>
      <c r="I18" s="1" t="s">
        <v>272</v>
      </c>
      <c r="J18" s="1">
        <v>9</v>
      </c>
      <c r="K18" s="1">
        <v>9514</v>
      </c>
      <c r="L18" s="1">
        <v>11329</v>
      </c>
      <c r="M18" s="1" t="s">
        <v>52</v>
      </c>
      <c r="N18" s="1" t="s">
        <v>53</v>
      </c>
    </row>
    <row r="19" spans="1:14">
      <c r="A19" s="1">
        <v>21543</v>
      </c>
      <c r="B19" s="1" t="s">
        <v>26</v>
      </c>
      <c r="C19" s="1" t="s">
        <v>51</v>
      </c>
      <c r="D19" s="1" t="s">
        <v>20</v>
      </c>
      <c r="E19" s="5" t="s">
        <v>224</v>
      </c>
      <c r="F19" s="2" t="str">
        <f>HYPERLINK("https://stat100.ameba.jp/tnk47/ratio20/illustrations/card/ill_21543_fuyunojimmanoyorikane03.jpg", "■")</f>
        <v>■</v>
      </c>
      <c r="G19" s="1" t="s">
        <v>200</v>
      </c>
      <c r="I19" s="1" t="s">
        <v>272</v>
      </c>
      <c r="J19" s="1">
        <v>9</v>
      </c>
      <c r="K19" s="1">
        <v>11329</v>
      </c>
      <c r="L19" s="1">
        <v>9514</v>
      </c>
      <c r="M19" s="1" t="s">
        <v>54</v>
      </c>
      <c r="N19" s="1" t="s">
        <v>55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DC50-936C-4D5C-B6F5-0A63BE99AAF8}">
  <dimension ref="A1:O19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1" customWidth="1"/>
    <col min="2" max="2" width="3.9140625" style="1" customWidth="1"/>
    <col min="3" max="3" width="12.33203125" style="1" customWidth="1"/>
    <col min="4" max="4" width="5.4140625" style="1" customWidth="1"/>
    <col min="5" max="5" width="30.9140625" style="1" customWidth="1"/>
    <col min="6" max="6" width="3.75" style="1" customWidth="1"/>
    <col min="7" max="7" width="30.9140625" style="1" hidden="1" customWidth="1"/>
    <col min="8" max="8" width="12.9140625" style="1" hidden="1" customWidth="1"/>
    <col min="9" max="9" width="17.33203125" style="1" hidden="1" customWidth="1"/>
    <col min="10" max="10" width="3.9140625" style="1" customWidth="1"/>
    <col min="11" max="12" width="7.08203125" style="1" customWidth="1"/>
    <col min="13" max="13" width="31" style="1" hidden="1" customWidth="1"/>
    <col min="14" max="14" width="70.9140625" style="1" customWidth="1"/>
    <col min="15" max="15" width="25.9140625" style="1" customWidth="1"/>
    <col min="16" max="16384" width="8.9140625" style="1"/>
  </cols>
  <sheetData>
    <row r="1" spans="1:15">
      <c r="A1" s="3" t="s">
        <v>126</v>
      </c>
      <c r="B1" s="3" t="s">
        <v>21</v>
      </c>
      <c r="C1" s="3" t="s">
        <v>13</v>
      </c>
      <c r="D1" s="4" t="s">
        <v>14</v>
      </c>
      <c r="E1" s="4" t="s">
        <v>15</v>
      </c>
      <c r="F1" s="4" t="s">
        <v>209</v>
      </c>
      <c r="G1" s="4" t="s">
        <v>153</v>
      </c>
      <c r="H1" s="4" t="s">
        <v>156</v>
      </c>
      <c r="I1" s="4" t="s">
        <v>16</v>
      </c>
      <c r="J1" s="4" t="s">
        <v>17</v>
      </c>
      <c r="K1" s="4" t="s">
        <v>155</v>
      </c>
      <c r="L1" s="4" t="s">
        <v>154</v>
      </c>
      <c r="M1" s="4" t="s">
        <v>18</v>
      </c>
      <c r="N1" s="4" t="s">
        <v>248</v>
      </c>
      <c r="O1" s="4" t="s">
        <v>250</v>
      </c>
    </row>
    <row r="2" spans="1:15">
      <c r="E2" s="2"/>
      <c r="F2" s="2"/>
    </row>
    <row r="3" spans="1:15">
      <c r="A3" s="1">
        <v>82743</v>
      </c>
      <c r="B3" s="1" t="s">
        <v>23</v>
      </c>
      <c r="C3" s="1" t="s">
        <v>157</v>
      </c>
      <c r="D3" s="1" t="s">
        <v>158</v>
      </c>
      <c r="E3" s="5" t="s">
        <v>240</v>
      </c>
      <c r="F3" s="2" t="str">
        <f>HYPERLINK("https://stat100.ameba.jp/tnk47/ratio20/illustrations/card/ill_82743_furesshumirukuyokubukanyobo03.jpg", "■")</f>
        <v>■</v>
      </c>
      <c r="G3" s="1" t="s">
        <v>199</v>
      </c>
      <c r="H3" s="1" t="s">
        <v>166</v>
      </c>
      <c r="I3" s="1" t="s">
        <v>286</v>
      </c>
      <c r="J3" s="1">
        <v>13</v>
      </c>
      <c r="K3" s="1">
        <v>55063</v>
      </c>
      <c r="L3" s="1">
        <v>59328</v>
      </c>
      <c r="M3" s="1" t="s">
        <v>159</v>
      </c>
      <c r="N3" s="1" t="s">
        <v>267</v>
      </c>
      <c r="O3" s="1" t="s">
        <v>253</v>
      </c>
    </row>
    <row r="4" spans="1:15">
      <c r="A4" s="1">
        <v>82753</v>
      </c>
      <c r="B4" s="1" t="s">
        <v>10</v>
      </c>
      <c r="C4" s="1" t="s">
        <v>1</v>
      </c>
      <c r="D4" s="1" t="s">
        <v>158</v>
      </c>
      <c r="E4" s="5" t="s">
        <v>279</v>
      </c>
      <c r="F4" s="2" t="str">
        <f>HYPERLINK("https://stat100.ameba.jp/tnk47/ratio20/illustrations/card/ill_82753_tokachinoraijin03.jpg", "■")</f>
        <v>■</v>
      </c>
      <c r="G4" s="1" t="s">
        <v>198</v>
      </c>
      <c r="H4" s="1" t="s">
        <v>167</v>
      </c>
      <c r="I4" s="1" t="s">
        <v>197</v>
      </c>
      <c r="J4" s="1">
        <v>7</v>
      </c>
      <c r="K4" s="1">
        <v>20748</v>
      </c>
      <c r="L4" s="1">
        <v>18818</v>
      </c>
      <c r="M4" s="1" t="s">
        <v>160</v>
      </c>
      <c r="N4" s="1" t="s">
        <v>268</v>
      </c>
    </row>
    <row r="5" spans="1:15">
      <c r="A5" s="1">
        <v>82763</v>
      </c>
      <c r="B5" s="1" t="s">
        <v>0</v>
      </c>
      <c r="C5" s="1" t="s">
        <v>7</v>
      </c>
      <c r="D5" s="1" t="s">
        <v>158</v>
      </c>
      <c r="E5" s="5" t="s">
        <v>241</v>
      </c>
      <c r="F5" s="2" t="str">
        <f>HYPERLINK("https://stat100.ameba.jp/tnk47/ratio20/illustrations/card/ill_82763_ushinokokumairi03.jpg", "■")</f>
        <v>■</v>
      </c>
      <c r="G5" s="1" t="s">
        <v>170</v>
      </c>
      <c r="H5" s="1" t="s">
        <v>168</v>
      </c>
      <c r="I5" s="1" t="s">
        <v>169</v>
      </c>
      <c r="J5" s="1">
        <v>9</v>
      </c>
      <c r="K5" s="1">
        <v>15559</v>
      </c>
      <c r="L5" s="1">
        <v>18712</v>
      </c>
      <c r="M5" s="1" t="s">
        <v>161</v>
      </c>
      <c r="N5" s="1" t="s">
        <v>162</v>
      </c>
    </row>
    <row r="6" spans="1:15">
      <c r="E6" s="2"/>
      <c r="F6" s="2"/>
    </row>
    <row r="7" spans="1:15">
      <c r="A7" s="1">
        <v>27373</v>
      </c>
      <c r="B7" s="1" t="s">
        <v>0</v>
      </c>
      <c r="C7" s="1" t="s">
        <v>1</v>
      </c>
      <c r="D7" s="1" t="s">
        <v>19</v>
      </c>
      <c r="E7" s="5" t="s">
        <v>213</v>
      </c>
      <c r="F7" s="2" t="str">
        <f>HYPERLINK("https://stat100.ameba.jp/tnk47/ratio20/illustrations/card/ill_27373_bakumatsujoketsuniijimayae03.jpg", "■")</f>
        <v>■</v>
      </c>
      <c r="G7" s="1" t="s">
        <v>60</v>
      </c>
      <c r="H7" s="1" t="s">
        <v>69</v>
      </c>
      <c r="I7" s="1" t="s">
        <v>282</v>
      </c>
      <c r="J7" s="1">
        <v>9</v>
      </c>
      <c r="K7" s="1">
        <v>14079</v>
      </c>
      <c r="L7" s="1">
        <v>18270</v>
      </c>
      <c r="M7" s="1" t="s">
        <v>29</v>
      </c>
      <c r="N7" s="1" t="s">
        <v>30</v>
      </c>
    </row>
    <row r="8" spans="1:15">
      <c r="A8" s="1">
        <v>23533</v>
      </c>
      <c r="B8" s="1" t="s">
        <v>0</v>
      </c>
      <c r="C8" s="1" t="s">
        <v>1</v>
      </c>
      <c r="D8" s="1" t="s">
        <v>11</v>
      </c>
      <c r="E8" s="5" t="s">
        <v>214</v>
      </c>
      <c r="F8" s="2" t="str">
        <f>HYPERLINK("https://stat100.ameba.jp/tnk47/ratio20/illustrations/card/ill_23533_fuyunojinseishinni03.jpg", "■")</f>
        <v>■</v>
      </c>
      <c r="G8" s="1" t="s">
        <v>59</v>
      </c>
      <c r="I8" s="1" t="s">
        <v>281</v>
      </c>
      <c r="J8" s="1">
        <v>9</v>
      </c>
      <c r="K8" s="1">
        <v>17053</v>
      </c>
      <c r="L8" s="1">
        <v>15130</v>
      </c>
      <c r="M8" s="1" t="s">
        <v>31</v>
      </c>
      <c r="N8" s="1" t="s">
        <v>32</v>
      </c>
    </row>
    <row r="9" spans="1:15">
      <c r="A9" s="1">
        <v>21493</v>
      </c>
      <c r="B9" s="1" t="s">
        <v>0</v>
      </c>
      <c r="C9" s="1" t="s">
        <v>4</v>
      </c>
      <c r="D9" s="1" t="s">
        <v>20</v>
      </c>
      <c r="E9" s="5" t="s">
        <v>215</v>
      </c>
      <c r="F9" s="2" t="str">
        <f>HYPERLINK("https://stat100.ameba.jp/tnk47/ratio20/illustrations/card/ill_21493_fuyunojintokugawahidetada03.jpg", "■")</f>
        <v>■</v>
      </c>
      <c r="G9" s="1" t="s">
        <v>58</v>
      </c>
      <c r="I9" s="1" t="s">
        <v>281</v>
      </c>
      <c r="J9" s="1">
        <v>9</v>
      </c>
      <c r="K9" s="1">
        <v>15130</v>
      </c>
      <c r="L9" s="1">
        <v>17053</v>
      </c>
      <c r="M9" s="1" t="s">
        <v>33</v>
      </c>
      <c r="N9" s="1" t="s">
        <v>34</v>
      </c>
    </row>
    <row r="10" spans="1:15">
      <c r="A10" s="1">
        <v>21503</v>
      </c>
      <c r="B10" s="1" t="s">
        <v>0</v>
      </c>
      <c r="C10" s="1" t="s">
        <v>6</v>
      </c>
      <c r="D10" s="1" t="s">
        <v>11</v>
      </c>
      <c r="E10" s="5" t="s">
        <v>216</v>
      </c>
      <c r="F10" s="2" t="str">
        <f>HYPERLINK("https://stat100.ameba.jp/tnk47/ratio20/illustrations/card/ill_21503_fuyunojintensuin03.jpg", "■")</f>
        <v>■</v>
      </c>
      <c r="G10" s="1" t="s">
        <v>57</v>
      </c>
      <c r="I10" s="1" t="s">
        <v>281</v>
      </c>
      <c r="J10" s="1">
        <v>9</v>
      </c>
      <c r="K10" s="1">
        <v>18270</v>
      </c>
      <c r="L10" s="1">
        <v>14079</v>
      </c>
      <c r="M10" s="1" t="s">
        <v>35</v>
      </c>
      <c r="N10" s="1" t="s">
        <v>36</v>
      </c>
    </row>
    <row r="11" spans="1:15">
      <c r="A11" s="1">
        <v>28773</v>
      </c>
      <c r="B11" s="1" t="s">
        <v>0</v>
      </c>
      <c r="C11" s="1" t="s">
        <v>7</v>
      </c>
      <c r="D11" s="1" t="s">
        <v>19</v>
      </c>
      <c r="E11" s="5" t="s">
        <v>217</v>
      </c>
      <c r="F11" s="2" t="str">
        <f>HYPERLINK("https://stat100.ameba.jp/tnk47/ratio20/illustrations/card/ill_28773_sanjosanetomi03.jpg", "■")</f>
        <v>■</v>
      </c>
      <c r="G11" s="1" t="s">
        <v>64</v>
      </c>
      <c r="I11" s="1" t="s">
        <v>281</v>
      </c>
      <c r="J11" s="1">
        <v>9</v>
      </c>
      <c r="K11" s="1">
        <v>18270</v>
      </c>
      <c r="L11" s="1">
        <v>18270</v>
      </c>
      <c r="M11" s="1" t="s">
        <v>37</v>
      </c>
      <c r="N11" s="1" t="s">
        <v>38</v>
      </c>
    </row>
    <row r="12" spans="1:15">
      <c r="A12" s="1">
        <v>21443</v>
      </c>
      <c r="B12" s="1" t="s">
        <v>0</v>
      </c>
      <c r="C12" s="1" t="s">
        <v>7</v>
      </c>
      <c r="D12" s="1" t="s">
        <v>11</v>
      </c>
      <c r="E12" s="5" t="s">
        <v>218</v>
      </c>
      <c r="F12" s="2" t="str">
        <f>HYPERLINK("https://stat100.ameba.jp/tnk47/ratio20/illustrations/card/ill_21443_fuyunojinsenhime03.jpg", "■")</f>
        <v>■</v>
      </c>
      <c r="G12" s="1" t="s">
        <v>125</v>
      </c>
      <c r="I12" s="1" t="s">
        <v>281</v>
      </c>
      <c r="J12" s="1">
        <v>9</v>
      </c>
      <c r="K12" s="1">
        <v>15130</v>
      </c>
      <c r="L12" s="1">
        <v>17053</v>
      </c>
      <c r="M12" s="1" t="s">
        <v>39</v>
      </c>
      <c r="N12" s="1" t="s">
        <v>40</v>
      </c>
    </row>
    <row r="13" spans="1:15">
      <c r="A13" s="1">
        <v>20623</v>
      </c>
      <c r="B13" s="1" t="s">
        <v>0</v>
      </c>
      <c r="C13" s="1" t="s">
        <v>8</v>
      </c>
      <c r="D13" s="1" t="s">
        <v>20</v>
      </c>
      <c r="E13" s="5" t="s">
        <v>219</v>
      </c>
      <c r="F13" s="2" t="str">
        <f>HYPERLINK("https://stat100.ameba.jp/tnk47/ratio20/illustrations/card/ill_20623_fuyunojinakashitakenori03.jpg", "■")</f>
        <v>■</v>
      </c>
      <c r="G13" s="1" t="s">
        <v>149</v>
      </c>
      <c r="I13" s="1" t="s">
        <v>281</v>
      </c>
      <c r="J13" s="1">
        <v>9</v>
      </c>
      <c r="K13" s="1">
        <v>17053</v>
      </c>
      <c r="L13" s="1">
        <v>15130</v>
      </c>
      <c r="M13" s="1" t="s">
        <v>41</v>
      </c>
      <c r="N13" s="1" t="s">
        <v>42</v>
      </c>
    </row>
    <row r="14" spans="1:15">
      <c r="A14" s="1">
        <v>21433</v>
      </c>
      <c r="B14" s="1" t="s">
        <v>0</v>
      </c>
      <c r="C14" s="1" t="s">
        <v>9</v>
      </c>
      <c r="D14" s="1" t="s">
        <v>11</v>
      </c>
      <c r="E14" s="5" t="s">
        <v>220</v>
      </c>
      <c r="F14" s="2" t="str">
        <f>HYPERLINK("https://stat100.ameba.jp/tnk47/ratio20/illustrations/card/ill_21433_fuyunojinokurakyonotsubone03.jpg", "■")</f>
        <v>■</v>
      </c>
      <c r="G14" s="1" t="s">
        <v>151</v>
      </c>
      <c r="I14" s="1" t="s">
        <v>281</v>
      </c>
      <c r="J14" s="1">
        <v>9</v>
      </c>
      <c r="K14" s="1">
        <v>14079</v>
      </c>
      <c r="L14" s="1">
        <v>18270</v>
      </c>
      <c r="M14" s="1" t="s">
        <v>43</v>
      </c>
      <c r="N14" s="1" t="s">
        <v>44</v>
      </c>
    </row>
    <row r="15" spans="1:15">
      <c r="E15" s="2"/>
      <c r="F15" s="2"/>
    </row>
    <row r="16" spans="1:15">
      <c r="A16" s="1">
        <v>21513</v>
      </c>
      <c r="B16" s="1" t="s">
        <v>26</v>
      </c>
      <c r="C16" s="1" t="s">
        <v>45</v>
      </c>
      <c r="D16" s="1" t="s">
        <v>11</v>
      </c>
      <c r="E16" s="5" t="s">
        <v>221</v>
      </c>
      <c r="F16" s="2" t="str">
        <f>HYPERLINK("https://stat100.ameba.jp/tnk47/ratio20/illustrations/card/ill_21513_fuyunojinosennokata03.jpg", "■")</f>
        <v>■</v>
      </c>
      <c r="G16" s="1" t="s">
        <v>203</v>
      </c>
      <c r="I16" s="1" t="s">
        <v>272</v>
      </c>
      <c r="J16" s="1">
        <v>9</v>
      </c>
      <c r="K16" s="1">
        <v>9514</v>
      </c>
      <c r="L16" s="1">
        <v>11329</v>
      </c>
      <c r="M16" s="1" t="s">
        <v>46</v>
      </c>
      <c r="N16" s="1" t="s">
        <v>47</v>
      </c>
    </row>
    <row r="17" spans="1:14">
      <c r="A17" s="1">
        <v>20593</v>
      </c>
      <c r="B17" s="1" t="s">
        <v>26</v>
      </c>
      <c r="C17" s="1" t="s">
        <v>48</v>
      </c>
      <c r="D17" s="1" t="s">
        <v>11</v>
      </c>
      <c r="E17" s="5" t="s">
        <v>222</v>
      </c>
      <c r="F17" s="2" t="str">
        <f>HYPERLINK("https://stat100.ameba.jp/tnk47/ratio20/illustrations/card/ill_20593_fuyunojinachanotsubone03.jpg", "■")</f>
        <v>■</v>
      </c>
      <c r="G17" s="1" t="s">
        <v>202</v>
      </c>
      <c r="I17" s="1" t="s">
        <v>272</v>
      </c>
      <c r="J17" s="1">
        <v>9</v>
      </c>
      <c r="K17" s="1">
        <v>9514</v>
      </c>
      <c r="L17" s="1">
        <v>11329</v>
      </c>
      <c r="M17" s="1" t="s">
        <v>49</v>
      </c>
      <c r="N17" s="1" t="s">
        <v>50</v>
      </c>
    </row>
    <row r="18" spans="1:14">
      <c r="A18" s="1">
        <v>7483</v>
      </c>
      <c r="B18" s="1" t="s">
        <v>26</v>
      </c>
      <c r="C18" s="1" t="s">
        <v>51</v>
      </c>
      <c r="D18" s="1" t="s">
        <v>20</v>
      </c>
      <c r="E18" s="5" t="s">
        <v>223</v>
      </c>
      <c r="F18" s="2" t="str">
        <f>HYPERLINK("https://stat100.ameba.jp/tnk47/ratio20/illustrations/card/ill_7483_fuyunojinhayakawanagamasa03.jpg", "■")</f>
        <v>■</v>
      </c>
      <c r="G18" s="1" t="s">
        <v>201</v>
      </c>
      <c r="I18" s="1" t="s">
        <v>272</v>
      </c>
      <c r="J18" s="1">
        <v>9</v>
      </c>
      <c r="K18" s="1">
        <v>9514</v>
      </c>
      <c r="L18" s="1">
        <v>11329</v>
      </c>
      <c r="M18" s="1" t="s">
        <v>52</v>
      </c>
      <c r="N18" s="1" t="s">
        <v>53</v>
      </c>
    </row>
    <row r="19" spans="1:14">
      <c r="A19" s="1">
        <v>21543</v>
      </c>
      <c r="B19" s="1" t="s">
        <v>26</v>
      </c>
      <c r="C19" s="1" t="s">
        <v>51</v>
      </c>
      <c r="D19" s="1" t="s">
        <v>20</v>
      </c>
      <c r="E19" s="5" t="s">
        <v>224</v>
      </c>
      <c r="F19" s="2" t="str">
        <f>HYPERLINK("https://stat100.ameba.jp/tnk47/ratio20/illustrations/card/ill_21543_fuyunojimmanoyorikane03.jpg", "■")</f>
        <v>■</v>
      </c>
      <c r="G19" s="1" t="s">
        <v>200</v>
      </c>
      <c r="I19" s="1" t="s">
        <v>272</v>
      </c>
      <c r="J19" s="1">
        <v>9</v>
      </c>
      <c r="K19" s="1">
        <v>11329</v>
      </c>
      <c r="L19" s="1">
        <v>9514</v>
      </c>
      <c r="M19" s="1" t="s">
        <v>54</v>
      </c>
      <c r="N19" s="1" t="s">
        <v>55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9AC74-C192-4C94-8B16-4360FB9C5E23}">
  <dimension ref="A1:O19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1" customWidth="1"/>
    <col min="2" max="2" width="3.9140625" style="1" customWidth="1"/>
    <col min="3" max="3" width="12.33203125" style="1" customWidth="1"/>
    <col min="4" max="4" width="5.4140625" style="1" customWidth="1"/>
    <col min="5" max="5" width="30.9140625" style="1" customWidth="1"/>
    <col min="6" max="6" width="3.75" style="1" customWidth="1"/>
    <col min="7" max="7" width="30.9140625" style="1" hidden="1" customWidth="1"/>
    <col min="8" max="8" width="12.9140625" style="1" hidden="1" customWidth="1"/>
    <col min="9" max="9" width="17.33203125" style="1" hidden="1" customWidth="1"/>
    <col min="10" max="10" width="3.9140625" style="1" customWidth="1"/>
    <col min="11" max="12" width="7.08203125" style="1" customWidth="1"/>
    <col min="13" max="13" width="31" style="1" hidden="1" customWidth="1"/>
    <col min="14" max="14" width="70.9140625" style="1" customWidth="1"/>
    <col min="15" max="15" width="25.9140625" style="1" customWidth="1"/>
    <col min="16" max="16384" width="8.9140625" style="1"/>
  </cols>
  <sheetData>
    <row r="1" spans="1:15">
      <c r="A1" s="3" t="s">
        <v>126</v>
      </c>
      <c r="B1" s="3" t="s">
        <v>21</v>
      </c>
      <c r="C1" s="3" t="s">
        <v>13</v>
      </c>
      <c r="D1" s="4" t="s">
        <v>14</v>
      </c>
      <c r="E1" s="4" t="s">
        <v>15</v>
      </c>
      <c r="F1" s="4" t="s">
        <v>209</v>
      </c>
      <c r="G1" s="4" t="s">
        <v>153</v>
      </c>
      <c r="H1" s="4" t="s">
        <v>156</v>
      </c>
      <c r="I1" s="4" t="s">
        <v>16</v>
      </c>
      <c r="J1" s="4" t="s">
        <v>17</v>
      </c>
      <c r="K1" s="4" t="s">
        <v>155</v>
      </c>
      <c r="L1" s="4" t="s">
        <v>154</v>
      </c>
      <c r="M1" s="4" t="s">
        <v>18</v>
      </c>
      <c r="N1" s="4" t="s">
        <v>248</v>
      </c>
      <c r="O1" s="4" t="s">
        <v>250</v>
      </c>
    </row>
    <row r="2" spans="1:15">
      <c r="E2" s="2"/>
      <c r="F2" s="2"/>
    </row>
    <row r="3" spans="1:15">
      <c r="A3" s="1">
        <v>83873</v>
      </c>
      <c r="B3" s="1" t="s">
        <v>23</v>
      </c>
      <c r="C3" s="1" t="s">
        <v>171</v>
      </c>
      <c r="D3" s="1" t="s">
        <v>172</v>
      </c>
      <c r="E3" s="5" t="s">
        <v>242</v>
      </c>
      <c r="F3" s="2" t="str">
        <f>HYPERLINK("https://stat100.ameba.jp/tnk47/ratio20/illustrations/card/ill_83873_manekinekoaputoruyamupeuenyuku03.jpg", "■")</f>
        <v>■</v>
      </c>
      <c r="G3" s="1" t="s">
        <v>174</v>
      </c>
      <c r="H3" s="1" t="s">
        <v>180</v>
      </c>
      <c r="I3" s="1" t="s">
        <v>280</v>
      </c>
      <c r="J3" s="1">
        <v>14</v>
      </c>
      <c r="K3" s="1">
        <v>54247</v>
      </c>
      <c r="L3" s="1">
        <v>58331</v>
      </c>
      <c r="M3" s="1" t="s">
        <v>173</v>
      </c>
      <c r="N3" s="1" t="s">
        <v>269</v>
      </c>
      <c r="O3" s="1" t="s">
        <v>254</v>
      </c>
    </row>
    <row r="4" spans="1:15">
      <c r="A4" s="1">
        <v>83883</v>
      </c>
      <c r="B4" s="1" t="s">
        <v>10</v>
      </c>
      <c r="C4" s="1" t="s">
        <v>132</v>
      </c>
      <c r="D4" s="1" t="s">
        <v>172</v>
      </c>
      <c r="E4" s="5" t="s">
        <v>243</v>
      </c>
      <c r="F4" s="2" t="str">
        <f>HYPERLINK("https://stat100.ameba.jp/tnk47/ratio20/illustrations/card/ill_83883_nabeshimanobakeneko03.jpg", "■")</f>
        <v>■</v>
      </c>
      <c r="G4" s="1" t="s">
        <v>175</v>
      </c>
      <c r="H4" s="1" t="s">
        <v>181</v>
      </c>
      <c r="I4" s="1" t="s">
        <v>182</v>
      </c>
      <c r="J4" s="1">
        <v>7</v>
      </c>
      <c r="K4" s="1">
        <v>20748</v>
      </c>
      <c r="L4" s="1">
        <v>18818</v>
      </c>
      <c r="M4" s="1" t="s">
        <v>176</v>
      </c>
      <c r="N4" s="1" t="s">
        <v>270</v>
      </c>
    </row>
    <row r="5" spans="1:15">
      <c r="A5" s="1">
        <v>83893</v>
      </c>
      <c r="B5" s="1" t="s">
        <v>0</v>
      </c>
      <c r="C5" s="1" t="s">
        <v>7</v>
      </c>
      <c r="D5" s="1" t="s">
        <v>172</v>
      </c>
      <c r="E5" s="5" t="s">
        <v>244</v>
      </c>
      <c r="F5" s="2" t="str">
        <f>HYPERLINK("https://stat100.ameba.jp/tnk47/ratio20/illustrations/card/ill_83893_yuwakunekomata03.jpg", "■")</f>
        <v>■</v>
      </c>
      <c r="G5" s="1" t="s">
        <v>179</v>
      </c>
      <c r="H5" s="1" t="s">
        <v>12</v>
      </c>
      <c r="I5" s="1" t="s">
        <v>61</v>
      </c>
      <c r="J5" s="1">
        <v>9</v>
      </c>
      <c r="K5" s="1">
        <v>15559</v>
      </c>
      <c r="L5" s="1">
        <v>18712</v>
      </c>
      <c r="M5" s="1" t="s">
        <v>178</v>
      </c>
      <c r="N5" s="1" t="s">
        <v>177</v>
      </c>
    </row>
    <row r="6" spans="1:15">
      <c r="E6" s="2"/>
      <c r="F6" s="2"/>
    </row>
    <row r="7" spans="1:15">
      <c r="A7" s="1">
        <v>27373</v>
      </c>
      <c r="B7" s="1" t="s">
        <v>0</v>
      </c>
      <c r="C7" s="1" t="s">
        <v>1</v>
      </c>
      <c r="D7" s="1" t="s">
        <v>19</v>
      </c>
      <c r="E7" s="5" t="s">
        <v>213</v>
      </c>
      <c r="F7" s="2" t="str">
        <f>HYPERLINK("https://stat100.ameba.jp/tnk47/ratio20/illustrations/card/ill_27373_bakumatsujoketsuniijimayae03.jpg", "■")</f>
        <v>■</v>
      </c>
      <c r="G7" s="1" t="s">
        <v>60</v>
      </c>
      <c r="H7" s="1" t="s">
        <v>69</v>
      </c>
      <c r="I7" s="1" t="s">
        <v>282</v>
      </c>
      <c r="J7" s="1">
        <v>9</v>
      </c>
      <c r="K7" s="1">
        <v>14079</v>
      </c>
      <c r="L7" s="1">
        <v>18270</v>
      </c>
      <c r="M7" s="1" t="s">
        <v>29</v>
      </c>
      <c r="N7" s="1" t="s">
        <v>30</v>
      </c>
    </row>
    <row r="8" spans="1:15">
      <c r="A8" s="1">
        <v>23533</v>
      </c>
      <c r="B8" s="1" t="s">
        <v>0</v>
      </c>
      <c r="C8" s="1" t="s">
        <v>1</v>
      </c>
      <c r="D8" s="1" t="s">
        <v>11</v>
      </c>
      <c r="E8" s="5" t="s">
        <v>214</v>
      </c>
      <c r="F8" s="2" t="str">
        <f>HYPERLINK("https://stat100.ameba.jp/tnk47/ratio20/illustrations/card/ill_23533_fuyunojinseishinni03.jpg", "■")</f>
        <v>■</v>
      </c>
      <c r="G8" s="1" t="s">
        <v>59</v>
      </c>
      <c r="I8" s="1" t="s">
        <v>281</v>
      </c>
      <c r="J8" s="1">
        <v>9</v>
      </c>
      <c r="K8" s="1">
        <v>17053</v>
      </c>
      <c r="L8" s="1">
        <v>15130</v>
      </c>
      <c r="M8" s="1" t="s">
        <v>31</v>
      </c>
      <c r="N8" s="1" t="s">
        <v>32</v>
      </c>
    </row>
    <row r="9" spans="1:15">
      <c r="A9" s="1">
        <v>21493</v>
      </c>
      <c r="B9" s="1" t="s">
        <v>0</v>
      </c>
      <c r="C9" s="1" t="s">
        <v>4</v>
      </c>
      <c r="D9" s="1" t="s">
        <v>20</v>
      </c>
      <c r="E9" s="5" t="s">
        <v>215</v>
      </c>
      <c r="F9" s="2" t="str">
        <f>HYPERLINK("https://stat100.ameba.jp/tnk47/ratio20/illustrations/card/ill_21493_fuyunojintokugawahidetada03.jpg", "■")</f>
        <v>■</v>
      </c>
      <c r="G9" s="1" t="s">
        <v>58</v>
      </c>
      <c r="I9" s="1" t="s">
        <v>281</v>
      </c>
      <c r="J9" s="1">
        <v>9</v>
      </c>
      <c r="K9" s="1">
        <v>15130</v>
      </c>
      <c r="L9" s="1">
        <v>17053</v>
      </c>
      <c r="M9" s="1" t="s">
        <v>33</v>
      </c>
      <c r="N9" s="1" t="s">
        <v>34</v>
      </c>
    </row>
    <row r="10" spans="1:15">
      <c r="A10" s="1">
        <v>21503</v>
      </c>
      <c r="B10" s="1" t="s">
        <v>0</v>
      </c>
      <c r="C10" s="1" t="s">
        <v>6</v>
      </c>
      <c r="D10" s="1" t="s">
        <v>11</v>
      </c>
      <c r="E10" s="5" t="s">
        <v>216</v>
      </c>
      <c r="F10" s="2" t="str">
        <f>HYPERLINK("https://stat100.ameba.jp/tnk47/ratio20/illustrations/card/ill_21503_fuyunojintensuin03.jpg", "■")</f>
        <v>■</v>
      </c>
      <c r="G10" s="1" t="s">
        <v>57</v>
      </c>
      <c r="I10" s="1" t="s">
        <v>281</v>
      </c>
      <c r="J10" s="1">
        <v>9</v>
      </c>
      <c r="K10" s="1">
        <v>18270</v>
      </c>
      <c r="L10" s="1">
        <v>14079</v>
      </c>
      <c r="M10" s="1" t="s">
        <v>35</v>
      </c>
      <c r="N10" s="1" t="s">
        <v>36</v>
      </c>
    </row>
    <row r="11" spans="1:15">
      <c r="A11" s="1">
        <v>28773</v>
      </c>
      <c r="B11" s="1" t="s">
        <v>0</v>
      </c>
      <c r="C11" s="1" t="s">
        <v>7</v>
      </c>
      <c r="D11" s="1" t="s">
        <v>19</v>
      </c>
      <c r="E11" s="5" t="s">
        <v>217</v>
      </c>
      <c r="F11" s="2" t="str">
        <f>HYPERLINK("https://stat100.ameba.jp/tnk47/ratio20/illustrations/card/ill_28773_sanjosanetomi03.jpg", "■")</f>
        <v>■</v>
      </c>
      <c r="G11" s="1" t="s">
        <v>64</v>
      </c>
      <c r="I11" s="1" t="s">
        <v>281</v>
      </c>
      <c r="J11" s="1">
        <v>9</v>
      </c>
      <c r="K11" s="1">
        <v>18270</v>
      </c>
      <c r="L11" s="1">
        <v>18270</v>
      </c>
      <c r="M11" s="1" t="s">
        <v>37</v>
      </c>
      <c r="N11" s="1" t="s">
        <v>38</v>
      </c>
    </row>
    <row r="12" spans="1:15">
      <c r="A12" s="1">
        <v>21443</v>
      </c>
      <c r="B12" s="1" t="s">
        <v>0</v>
      </c>
      <c r="C12" s="1" t="s">
        <v>7</v>
      </c>
      <c r="D12" s="1" t="s">
        <v>11</v>
      </c>
      <c r="E12" s="5" t="s">
        <v>218</v>
      </c>
      <c r="F12" s="2" t="str">
        <f>HYPERLINK("https://stat100.ameba.jp/tnk47/ratio20/illustrations/card/ill_21443_fuyunojinsenhime03.jpg", "■")</f>
        <v>■</v>
      </c>
      <c r="G12" s="1" t="s">
        <v>125</v>
      </c>
      <c r="I12" s="1" t="s">
        <v>281</v>
      </c>
      <c r="J12" s="1">
        <v>9</v>
      </c>
      <c r="K12" s="1">
        <v>15130</v>
      </c>
      <c r="L12" s="1">
        <v>17053</v>
      </c>
      <c r="M12" s="1" t="s">
        <v>39</v>
      </c>
      <c r="N12" s="1" t="s">
        <v>40</v>
      </c>
    </row>
    <row r="13" spans="1:15">
      <c r="A13" s="1">
        <v>20623</v>
      </c>
      <c r="B13" s="1" t="s">
        <v>0</v>
      </c>
      <c r="C13" s="1" t="s">
        <v>8</v>
      </c>
      <c r="D13" s="1" t="s">
        <v>20</v>
      </c>
      <c r="E13" s="5" t="s">
        <v>219</v>
      </c>
      <c r="F13" s="2" t="str">
        <f>HYPERLINK("https://stat100.ameba.jp/tnk47/ratio20/illustrations/card/ill_20623_fuyunojinakashitakenori03.jpg", "■")</f>
        <v>■</v>
      </c>
      <c r="G13" s="1" t="s">
        <v>149</v>
      </c>
      <c r="I13" s="1" t="s">
        <v>281</v>
      </c>
      <c r="J13" s="1">
        <v>9</v>
      </c>
      <c r="K13" s="1">
        <v>17053</v>
      </c>
      <c r="L13" s="1">
        <v>15130</v>
      </c>
      <c r="M13" s="1" t="s">
        <v>41</v>
      </c>
      <c r="N13" s="1" t="s">
        <v>42</v>
      </c>
    </row>
    <row r="14" spans="1:15">
      <c r="A14" s="1">
        <v>21433</v>
      </c>
      <c r="B14" s="1" t="s">
        <v>0</v>
      </c>
      <c r="C14" s="1" t="s">
        <v>9</v>
      </c>
      <c r="D14" s="1" t="s">
        <v>11</v>
      </c>
      <c r="E14" s="5" t="s">
        <v>220</v>
      </c>
      <c r="F14" s="2" t="str">
        <f>HYPERLINK("https://stat100.ameba.jp/tnk47/ratio20/illustrations/card/ill_21433_fuyunojinokurakyonotsubone03.jpg", "■")</f>
        <v>■</v>
      </c>
      <c r="G14" s="1" t="s">
        <v>151</v>
      </c>
      <c r="I14" s="1" t="s">
        <v>281</v>
      </c>
      <c r="J14" s="1">
        <v>9</v>
      </c>
      <c r="K14" s="1">
        <v>14079</v>
      </c>
      <c r="L14" s="1">
        <v>18270</v>
      </c>
      <c r="M14" s="1" t="s">
        <v>43</v>
      </c>
      <c r="N14" s="1" t="s">
        <v>44</v>
      </c>
    </row>
    <row r="15" spans="1:15">
      <c r="E15" s="2"/>
      <c r="F15" s="2"/>
    </row>
    <row r="16" spans="1:15">
      <c r="A16" s="1">
        <v>21513</v>
      </c>
      <c r="B16" s="1" t="s">
        <v>26</v>
      </c>
      <c r="C16" s="1" t="s">
        <v>45</v>
      </c>
      <c r="D16" s="1" t="s">
        <v>11</v>
      </c>
      <c r="E16" s="5" t="s">
        <v>221</v>
      </c>
      <c r="F16" s="2" t="str">
        <f>HYPERLINK("https://stat100.ameba.jp/tnk47/ratio20/illustrations/card/ill_21513_fuyunojinosennokata03.jpg", "■")</f>
        <v>■</v>
      </c>
      <c r="G16" s="1" t="s">
        <v>203</v>
      </c>
      <c r="I16" s="1" t="s">
        <v>272</v>
      </c>
      <c r="J16" s="1">
        <v>9</v>
      </c>
      <c r="K16" s="1">
        <v>9514</v>
      </c>
      <c r="L16" s="1">
        <v>11329</v>
      </c>
      <c r="M16" s="1" t="s">
        <v>46</v>
      </c>
      <c r="N16" s="1" t="s">
        <v>47</v>
      </c>
    </row>
    <row r="17" spans="1:14">
      <c r="A17" s="1">
        <v>20593</v>
      </c>
      <c r="B17" s="1" t="s">
        <v>26</v>
      </c>
      <c r="C17" s="1" t="s">
        <v>48</v>
      </c>
      <c r="D17" s="1" t="s">
        <v>11</v>
      </c>
      <c r="E17" s="5" t="s">
        <v>222</v>
      </c>
      <c r="F17" s="2" t="str">
        <f>HYPERLINK("https://stat100.ameba.jp/tnk47/ratio20/illustrations/card/ill_20593_fuyunojinachanotsubone03.jpg", "■")</f>
        <v>■</v>
      </c>
      <c r="G17" s="1" t="s">
        <v>202</v>
      </c>
      <c r="I17" s="1" t="s">
        <v>272</v>
      </c>
      <c r="J17" s="1">
        <v>9</v>
      </c>
      <c r="K17" s="1">
        <v>9514</v>
      </c>
      <c r="L17" s="1">
        <v>11329</v>
      </c>
      <c r="M17" s="1" t="s">
        <v>49</v>
      </c>
      <c r="N17" s="1" t="s">
        <v>50</v>
      </c>
    </row>
    <row r="18" spans="1:14">
      <c r="A18" s="1">
        <v>7483</v>
      </c>
      <c r="B18" s="1" t="s">
        <v>26</v>
      </c>
      <c r="C18" s="1" t="s">
        <v>51</v>
      </c>
      <c r="D18" s="1" t="s">
        <v>20</v>
      </c>
      <c r="E18" s="5" t="s">
        <v>223</v>
      </c>
      <c r="F18" s="2" t="str">
        <f>HYPERLINK("https://stat100.ameba.jp/tnk47/ratio20/illustrations/card/ill_7483_fuyunojinhayakawanagamasa03.jpg", "■")</f>
        <v>■</v>
      </c>
      <c r="G18" s="1" t="s">
        <v>201</v>
      </c>
      <c r="I18" s="1" t="s">
        <v>272</v>
      </c>
      <c r="J18" s="1">
        <v>9</v>
      </c>
      <c r="K18" s="1">
        <v>9514</v>
      </c>
      <c r="L18" s="1">
        <v>11329</v>
      </c>
      <c r="M18" s="1" t="s">
        <v>52</v>
      </c>
      <c r="N18" s="1" t="s">
        <v>53</v>
      </c>
    </row>
    <row r="19" spans="1:14">
      <c r="A19" s="1">
        <v>21543</v>
      </c>
      <c r="B19" s="1" t="s">
        <v>26</v>
      </c>
      <c r="C19" s="1" t="s">
        <v>51</v>
      </c>
      <c r="D19" s="1" t="s">
        <v>20</v>
      </c>
      <c r="E19" s="5" t="s">
        <v>224</v>
      </c>
      <c r="F19" s="2" t="str">
        <f>HYPERLINK("https://stat100.ameba.jp/tnk47/ratio20/illustrations/card/ill_21543_fuyunojimmanoyorikane03.jpg", "■")</f>
        <v>■</v>
      </c>
      <c r="G19" s="1" t="s">
        <v>200</v>
      </c>
      <c r="I19" s="1" t="s">
        <v>272</v>
      </c>
      <c r="J19" s="1">
        <v>9</v>
      </c>
      <c r="K19" s="1">
        <v>11329</v>
      </c>
      <c r="L19" s="1">
        <v>9514</v>
      </c>
      <c r="M19" s="1" t="s">
        <v>54</v>
      </c>
      <c r="N19" s="1" t="s">
        <v>55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4697-4E36-4445-8D32-5E647C5C0F42}">
  <dimension ref="A1:O19"/>
  <sheetViews>
    <sheetView zoomScale="55" zoomScaleNormal="55" workbookViewId="0">
      <pane ySplit="1" topLeftCell="A2" activePane="bottomLeft" state="frozen"/>
      <selection activeCell="I1" sqref="I1:I1048576"/>
      <selection pane="bottomLeft"/>
    </sheetView>
  </sheetViews>
  <sheetFormatPr defaultColWidth="8.9140625" defaultRowHeight="18"/>
  <cols>
    <col min="1" max="1" width="6.4140625" style="1" customWidth="1"/>
    <col min="2" max="2" width="3.9140625" style="1" customWidth="1"/>
    <col min="3" max="3" width="12.33203125" style="1" customWidth="1"/>
    <col min="4" max="4" width="5.4140625" style="1" customWidth="1"/>
    <col min="5" max="5" width="30.9140625" style="1" customWidth="1"/>
    <col min="6" max="6" width="3.75" style="1" customWidth="1"/>
    <col min="7" max="7" width="30.9140625" style="1" hidden="1" customWidth="1"/>
    <col min="8" max="8" width="12.9140625" style="1" hidden="1" customWidth="1"/>
    <col min="9" max="9" width="17.33203125" style="1" hidden="1" customWidth="1"/>
    <col min="10" max="10" width="3.9140625" style="1" customWidth="1"/>
    <col min="11" max="12" width="7.08203125" style="1" customWidth="1"/>
    <col min="13" max="13" width="31" style="1" hidden="1" customWidth="1"/>
    <col min="14" max="14" width="70.9140625" style="1" customWidth="1"/>
    <col min="15" max="15" width="25.9140625" style="1" customWidth="1"/>
    <col min="16" max="16384" width="8.9140625" style="1"/>
  </cols>
  <sheetData>
    <row r="1" spans="1:15">
      <c r="A1" s="3" t="s">
        <v>126</v>
      </c>
      <c r="B1" s="3" t="s">
        <v>21</v>
      </c>
      <c r="C1" s="3" t="s">
        <v>13</v>
      </c>
      <c r="D1" s="4" t="s">
        <v>14</v>
      </c>
      <c r="E1" s="4" t="s">
        <v>15</v>
      </c>
      <c r="F1" s="4" t="s">
        <v>209</v>
      </c>
      <c r="G1" s="4" t="s">
        <v>153</v>
      </c>
      <c r="H1" s="4" t="s">
        <v>156</v>
      </c>
      <c r="I1" s="4" t="s">
        <v>16</v>
      </c>
      <c r="J1" s="4" t="s">
        <v>17</v>
      </c>
      <c r="K1" s="4" t="s">
        <v>155</v>
      </c>
      <c r="L1" s="4" t="s">
        <v>154</v>
      </c>
      <c r="M1" s="4" t="s">
        <v>18</v>
      </c>
      <c r="N1" s="4" t="s">
        <v>248</v>
      </c>
      <c r="O1" s="4" t="s">
        <v>250</v>
      </c>
    </row>
    <row r="2" spans="1:15">
      <c r="E2" s="2"/>
      <c r="F2" s="2"/>
    </row>
    <row r="3" spans="1:15">
      <c r="A3" s="1">
        <v>85283</v>
      </c>
      <c r="B3" s="1" t="s">
        <v>23</v>
      </c>
      <c r="C3" s="1" t="s">
        <v>189</v>
      </c>
      <c r="D3" s="1" t="s">
        <v>144</v>
      </c>
      <c r="E3" s="5" t="s">
        <v>245</v>
      </c>
      <c r="F3" s="2" t="str">
        <f>HYPERLINK("https://stat100.ameba.jp/tnk47/ratio20/illustrations/card/ill_85283_chukahantenramunechan03.jpg", "■")</f>
        <v>■</v>
      </c>
      <c r="G3" s="1" t="s">
        <v>191</v>
      </c>
      <c r="H3" s="1" t="s">
        <v>205</v>
      </c>
      <c r="I3" s="1" t="s">
        <v>187</v>
      </c>
      <c r="J3" s="1">
        <v>14</v>
      </c>
      <c r="K3" s="1">
        <v>66115</v>
      </c>
      <c r="L3" s="1">
        <v>61480</v>
      </c>
      <c r="M3" s="1" t="s">
        <v>194</v>
      </c>
      <c r="N3" s="1" t="s">
        <v>258</v>
      </c>
      <c r="O3" s="1" t="s">
        <v>284</v>
      </c>
    </row>
    <row r="4" spans="1:15">
      <c r="A4" s="1">
        <v>85293</v>
      </c>
      <c r="B4" s="1" t="s">
        <v>10</v>
      </c>
      <c r="C4" s="1" t="s">
        <v>132</v>
      </c>
      <c r="D4" s="1" t="s">
        <v>144</v>
      </c>
      <c r="E4" s="5" t="s">
        <v>246</v>
      </c>
      <c r="F4" s="2" t="str">
        <f>HYPERLINK("https://stat100.ameba.jp/tnk47/ratio20/illustrations/card/ill_85293_okinawasobachan03.jpg", "■")</f>
        <v>■</v>
      </c>
      <c r="G4" s="1" t="s">
        <v>192</v>
      </c>
      <c r="H4" s="1" t="s">
        <v>206</v>
      </c>
      <c r="I4" s="1" t="s">
        <v>207</v>
      </c>
      <c r="J4" s="1">
        <v>8</v>
      </c>
      <c r="K4" s="1">
        <v>21507</v>
      </c>
      <c r="L4" s="1">
        <v>23712</v>
      </c>
      <c r="M4" s="1" t="s">
        <v>195</v>
      </c>
      <c r="N4" s="1" t="s">
        <v>259</v>
      </c>
      <c r="O4" s="1" t="s">
        <v>285</v>
      </c>
    </row>
    <row r="5" spans="1:15">
      <c r="A5" s="1">
        <v>85303</v>
      </c>
      <c r="B5" s="1" t="s">
        <v>0</v>
      </c>
      <c r="C5" s="1" t="s">
        <v>190</v>
      </c>
      <c r="D5" s="1" t="s">
        <v>144</v>
      </c>
      <c r="E5" s="5" t="s">
        <v>247</v>
      </c>
      <c r="F5" s="2" t="str">
        <f>HYPERLINK("https://stat100.ameba.jp/tnk47/ratio20/illustrations/card/ill_85303_chukamanchan03.jpg", "■")</f>
        <v>■</v>
      </c>
      <c r="G5" s="1" t="s">
        <v>193</v>
      </c>
      <c r="H5" s="1" t="s">
        <v>12</v>
      </c>
      <c r="I5" s="1" t="s">
        <v>61</v>
      </c>
      <c r="J5" s="1">
        <v>9</v>
      </c>
      <c r="K5" s="1">
        <v>18712</v>
      </c>
      <c r="L5" s="1">
        <v>15559</v>
      </c>
      <c r="M5" s="1" t="s">
        <v>196</v>
      </c>
      <c r="N5" s="1" t="s">
        <v>148</v>
      </c>
    </row>
    <row r="6" spans="1:15">
      <c r="E6" s="2"/>
      <c r="F6" s="2"/>
    </row>
    <row r="7" spans="1:15">
      <c r="A7" s="1">
        <v>27373</v>
      </c>
      <c r="B7" s="1" t="s">
        <v>0</v>
      </c>
      <c r="C7" s="1" t="s">
        <v>1</v>
      </c>
      <c r="D7" s="1" t="s">
        <v>19</v>
      </c>
      <c r="E7" s="5" t="s">
        <v>213</v>
      </c>
      <c r="F7" s="2" t="str">
        <f>HYPERLINK("https://stat100.ameba.jp/tnk47/ratio20/illustrations/card/ill_27373_bakumatsujoketsuniijimayae03.jpg", "■")</f>
        <v>■</v>
      </c>
      <c r="G7" s="1" t="s">
        <v>60</v>
      </c>
      <c r="H7" s="1" t="s">
        <v>69</v>
      </c>
      <c r="I7" s="1" t="s">
        <v>282</v>
      </c>
      <c r="J7" s="1">
        <v>9</v>
      </c>
      <c r="K7" s="1">
        <v>14079</v>
      </c>
      <c r="L7" s="1">
        <v>18270</v>
      </c>
      <c r="M7" s="1" t="s">
        <v>29</v>
      </c>
      <c r="N7" s="1" t="s">
        <v>30</v>
      </c>
    </row>
    <row r="8" spans="1:15">
      <c r="A8" s="1">
        <v>23533</v>
      </c>
      <c r="B8" s="1" t="s">
        <v>0</v>
      </c>
      <c r="C8" s="1" t="s">
        <v>1</v>
      </c>
      <c r="D8" s="1" t="s">
        <v>11</v>
      </c>
      <c r="E8" s="5" t="s">
        <v>214</v>
      </c>
      <c r="F8" s="2" t="str">
        <f>HYPERLINK("https://stat100.ameba.jp/tnk47/ratio20/illustrations/card/ill_23533_fuyunojinseishinni03.jpg", "■")</f>
        <v>■</v>
      </c>
      <c r="G8" s="1" t="s">
        <v>59</v>
      </c>
      <c r="I8" s="1" t="s">
        <v>281</v>
      </c>
      <c r="J8" s="1">
        <v>9</v>
      </c>
      <c r="K8" s="1">
        <v>17053</v>
      </c>
      <c r="L8" s="1">
        <v>15130</v>
      </c>
      <c r="M8" s="1" t="s">
        <v>31</v>
      </c>
      <c r="N8" s="1" t="s">
        <v>32</v>
      </c>
    </row>
    <row r="9" spans="1:15">
      <c r="A9" s="1">
        <v>21493</v>
      </c>
      <c r="B9" s="1" t="s">
        <v>0</v>
      </c>
      <c r="C9" s="1" t="s">
        <v>4</v>
      </c>
      <c r="D9" s="1" t="s">
        <v>20</v>
      </c>
      <c r="E9" s="5" t="s">
        <v>215</v>
      </c>
      <c r="F9" s="2" t="str">
        <f>HYPERLINK("https://stat100.ameba.jp/tnk47/ratio20/illustrations/card/ill_21493_fuyunojintokugawahidetada03.jpg", "■")</f>
        <v>■</v>
      </c>
      <c r="G9" s="1" t="s">
        <v>58</v>
      </c>
      <c r="I9" s="1" t="s">
        <v>281</v>
      </c>
      <c r="J9" s="1">
        <v>9</v>
      </c>
      <c r="K9" s="1">
        <v>15130</v>
      </c>
      <c r="L9" s="1">
        <v>17053</v>
      </c>
      <c r="M9" s="1" t="s">
        <v>33</v>
      </c>
      <c r="N9" s="1" t="s">
        <v>34</v>
      </c>
    </row>
    <row r="10" spans="1:15">
      <c r="A10" s="1">
        <v>21503</v>
      </c>
      <c r="B10" s="1" t="s">
        <v>0</v>
      </c>
      <c r="C10" s="1" t="s">
        <v>6</v>
      </c>
      <c r="D10" s="1" t="s">
        <v>11</v>
      </c>
      <c r="E10" s="5" t="s">
        <v>216</v>
      </c>
      <c r="F10" s="2" t="str">
        <f>HYPERLINK("https://stat100.ameba.jp/tnk47/ratio20/illustrations/card/ill_21503_fuyunojintensuin03.jpg", "■")</f>
        <v>■</v>
      </c>
      <c r="G10" s="1" t="s">
        <v>57</v>
      </c>
      <c r="I10" s="1" t="s">
        <v>281</v>
      </c>
      <c r="J10" s="1">
        <v>9</v>
      </c>
      <c r="K10" s="1">
        <v>18270</v>
      </c>
      <c r="L10" s="1">
        <v>14079</v>
      </c>
      <c r="M10" s="1" t="s">
        <v>35</v>
      </c>
      <c r="N10" s="1" t="s">
        <v>36</v>
      </c>
    </row>
    <row r="11" spans="1:15">
      <c r="A11" s="1">
        <v>28773</v>
      </c>
      <c r="B11" s="1" t="s">
        <v>0</v>
      </c>
      <c r="C11" s="1" t="s">
        <v>7</v>
      </c>
      <c r="D11" s="1" t="s">
        <v>19</v>
      </c>
      <c r="E11" s="5" t="s">
        <v>217</v>
      </c>
      <c r="F11" s="2" t="str">
        <f>HYPERLINK("https://stat100.ameba.jp/tnk47/ratio20/illustrations/card/ill_28773_sanjosanetomi03.jpg", "■")</f>
        <v>■</v>
      </c>
      <c r="G11" s="1" t="s">
        <v>64</v>
      </c>
      <c r="I11" s="1" t="s">
        <v>281</v>
      </c>
      <c r="J11" s="1">
        <v>9</v>
      </c>
      <c r="K11" s="1">
        <v>18270</v>
      </c>
      <c r="L11" s="1">
        <v>18270</v>
      </c>
      <c r="M11" s="1" t="s">
        <v>37</v>
      </c>
      <c r="N11" s="1" t="s">
        <v>38</v>
      </c>
    </row>
    <row r="12" spans="1:15">
      <c r="A12" s="1">
        <v>21443</v>
      </c>
      <c r="B12" s="1" t="s">
        <v>0</v>
      </c>
      <c r="C12" s="1" t="s">
        <v>7</v>
      </c>
      <c r="D12" s="1" t="s">
        <v>11</v>
      </c>
      <c r="E12" s="5" t="s">
        <v>218</v>
      </c>
      <c r="F12" s="2" t="str">
        <f>HYPERLINK("https://stat100.ameba.jp/tnk47/ratio20/illustrations/card/ill_21443_fuyunojinsenhime03.jpg", "■")</f>
        <v>■</v>
      </c>
      <c r="G12" s="1" t="s">
        <v>125</v>
      </c>
      <c r="I12" s="1" t="s">
        <v>281</v>
      </c>
      <c r="J12" s="1">
        <v>9</v>
      </c>
      <c r="K12" s="1">
        <v>15130</v>
      </c>
      <c r="L12" s="1">
        <v>17053</v>
      </c>
      <c r="M12" s="1" t="s">
        <v>39</v>
      </c>
      <c r="N12" s="1" t="s">
        <v>40</v>
      </c>
    </row>
    <row r="13" spans="1:15">
      <c r="A13" s="1">
        <v>20623</v>
      </c>
      <c r="B13" s="1" t="s">
        <v>0</v>
      </c>
      <c r="C13" s="1" t="s">
        <v>8</v>
      </c>
      <c r="D13" s="1" t="s">
        <v>20</v>
      </c>
      <c r="E13" s="5" t="s">
        <v>219</v>
      </c>
      <c r="F13" s="2" t="str">
        <f>HYPERLINK("https://stat100.ameba.jp/tnk47/ratio20/illustrations/card/ill_20623_fuyunojinakashitakenori03.jpg", "■")</f>
        <v>■</v>
      </c>
      <c r="G13" s="1" t="s">
        <v>149</v>
      </c>
      <c r="I13" s="1" t="s">
        <v>281</v>
      </c>
      <c r="J13" s="1">
        <v>9</v>
      </c>
      <c r="K13" s="1">
        <v>17053</v>
      </c>
      <c r="L13" s="1">
        <v>15130</v>
      </c>
      <c r="M13" s="1" t="s">
        <v>41</v>
      </c>
      <c r="N13" s="1" t="s">
        <v>42</v>
      </c>
    </row>
    <row r="14" spans="1:15">
      <c r="A14" s="1">
        <v>21433</v>
      </c>
      <c r="B14" s="1" t="s">
        <v>0</v>
      </c>
      <c r="C14" s="1" t="s">
        <v>9</v>
      </c>
      <c r="D14" s="1" t="s">
        <v>11</v>
      </c>
      <c r="E14" s="5" t="s">
        <v>220</v>
      </c>
      <c r="F14" s="2" t="str">
        <f>HYPERLINK("https://stat100.ameba.jp/tnk47/ratio20/illustrations/card/ill_21433_fuyunojinokurakyonotsubone03.jpg", "■")</f>
        <v>■</v>
      </c>
      <c r="G14" s="1" t="s">
        <v>151</v>
      </c>
      <c r="I14" s="1" t="s">
        <v>281</v>
      </c>
      <c r="J14" s="1">
        <v>9</v>
      </c>
      <c r="K14" s="1">
        <v>14079</v>
      </c>
      <c r="L14" s="1">
        <v>18270</v>
      </c>
      <c r="M14" s="1" t="s">
        <v>43</v>
      </c>
      <c r="N14" s="1" t="s">
        <v>44</v>
      </c>
    </row>
    <row r="15" spans="1:15">
      <c r="E15" s="2"/>
      <c r="F15" s="2"/>
    </row>
    <row r="16" spans="1:15">
      <c r="A16" s="1">
        <v>21513</v>
      </c>
      <c r="B16" s="1" t="s">
        <v>26</v>
      </c>
      <c r="C16" s="1" t="s">
        <v>45</v>
      </c>
      <c r="D16" s="1" t="s">
        <v>11</v>
      </c>
      <c r="E16" s="5" t="s">
        <v>221</v>
      </c>
      <c r="F16" s="2" t="str">
        <f>HYPERLINK("https://stat100.ameba.jp/tnk47/ratio20/illustrations/card/ill_21513_fuyunojinosennokata03.jpg", "■")</f>
        <v>■</v>
      </c>
      <c r="G16" s="1" t="s">
        <v>203</v>
      </c>
      <c r="H16" s="1" t="s">
        <v>204</v>
      </c>
      <c r="I16" s="1" t="s">
        <v>277</v>
      </c>
      <c r="J16" s="1">
        <v>9</v>
      </c>
      <c r="K16" s="1">
        <v>9514</v>
      </c>
      <c r="L16" s="1">
        <v>11329</v>
      </c>
      <c r="M16" s="1" t="s">
        <v>46</v>
      </c>
      <c r="N16" s="1" t="s">
        <v>47</v>
      </c>
    </row>
    <row r="17" spans="1:14">
      <c r="A17" s="1">
        <v>20593</v>
      </c>
      <c r="B17" s="1" t="s">
        <v>26</v>
      </c>
      <c r="C17" s="1" t="s">
        <v>48</v>
      </c>
      <c r="D17" s="1" t="s">
        <v>11</v>
      </c>
      <c r="E17" s="5" t="s">
        <v>222</v>
      </c>
      <c r="F17" s="2" t="str">
        <f>HYPERLINK("https://stat100.ameba.jp/tnk47/ratio20/illustrations/card/ill_20593_fuyunojinachanotsubone03.jpg", "■")</f>
        <v>■</v>
      </c>
      <c r="G17" s="1" t="s">
        <v>202</v>
      </c>
      <c r="H17" s="1" t="s">
        <v>204</v>
      </c>
      <c r="I17" s="1" t="s">
        <v>277</v>
      </c>
      <c r="J17" s="1">
        <v>9</v>
      </c>
      <c r="K17" s="1">
        <v>9514</v>
      </c>
      <c r="L17" s="1">
        <v>11329</v>
      </c>
      <c r="M17" s="1" t="s">
        <v>49</v>
      </c>
      <c r="N17" s="1" t="s">
        <v>50</v>
      </c>
    </row>
    <row r="18" spans="1:14">
      <c r="A18" s="1">
        <v>7483</v>
      </c>
      <c r="B18" s="1" t="s">
        <v>26</v>
      </c>
      <c r="C18" s="1" t="s">
        <v>51</v>
      </c>
      <c r="D18" s="1" t="s">
        <v>20</v>
      </c>
      <c r="E18" s="5" t="s">
        <v>223</v>
      </c>
      <c r="F18" s="2" t="str">
        <f>HYPERLINK("https://stat100.ameba.jp/tnk47/ratio20/illustrations/card/ill_7483_fuyunojinhayakawanagamasa03.jpg", "■")</f>
        <v>■</v>
      </c>
      <c r="G18" s="1" t="s">
        <v>201</v>
      </c>
      <c r="H18" s="1" t="s">
        <v>204</v>
      </c>
      <c r="I18" s="1" t="s">
        <v>277</v>
      </c>
      <c r="J18" s="1">
        <v>9</v>
      </c>
      <c r="K18" s="1">
        <v>9514</v>
      </c>
      <c r="L18" s="1">
        <v>11329</v>
      </c>
      <c r="M18" s="1" t="s">
        <v>52</v>
      </c>
      <c r="N18" s="1" t="s">
        <v>53</v>
      </c>
    </row>
    <row r="19" spans="1:14">
      <c r="A19" s="1">
        <v>21543</v>
      </c>
      <c r="B19" s="1" t="s">
        <v>26</v>
      </c>
      <c r="C19" s="1" t="s">
        <v>51</v>
      </c>
      <c r="D19" s="1" t="s">
        <v>20</v>
      </c>
      <c r="E19" s="5" t="s">
        <v>224</v>
      </c>
      <c r="F19" s="2" t="str">
        <f>HYPERLINK("https://stat100.ameba.jp/tnk47/ratio20/illustrations/card/ill_21543_fuyunojimmanoyorikane03.jpg", "■")</f>
        <v>■</v>
      </c>
      <c r="G19" s="1" t="s">
        <v>200</v>
      </c>
      <c r="H19" s="1" t="s">
        <v>204</v>
      </c>
      <c r="I19" s="1" t="s">
        <v>277</v>
      </c>
      <c r="J19" s="1">
        <v>9</v>
      </c>
      <c r="K19" s="1">
        <v>11329</v>
      </c>
      <c r="L19" s="1">
        <v>9514</v>
      </c>
      <c r="M19" s="1" t="s">
        <v>54</v>
      </c>
      <c r="N19" s="1" t="s">
        <v>55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1805</vt:lpstr>
      <vt:lpstr>1809</vt:lpstr>
      <vt:lpstr>1811</vt:lpstr>
      <vt:lpstr>1901</vt:lpstr>
      <vt:lpstr>1903</vt:lpstr>
      <vt:lpstr>1905</vt:lpstr>
      <vt:lpstr>1907</vt:lpstr>
      <vt:lpstr>1909</vt:lpstr>
      <vt:lpstr>1911</vt:lpstr>
      <vt:lpstr>2112</vt:lpstr>
      <vt:lpstr>テンプレ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2022-04-30T10:16:57Z</dcterms:modified>
</cp:coreProperties>
</file>