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01BD3C4A-A7BE-4A1D-B153-867B713D5C22}" xr6:coauthVersionLast="47" xr6:coauthVersionMax="47" xr10:uidLastSave="{00000000-0000-0000-0000-000000000000}"/>
  <bookViews>
    <workbookView xWindow="1440" yWindow="380" windowWidth="15030" windowHeight="10620" tabRatio="864" firstSheet="7" activeTab="19" xr2:uid="{00000000-000D-0000-FFFF-FFFF00000000}"/>
  </bookViews>
  <sheets>
    <sheet name="1701一部" sheetId="42" r:id="rId1"/>
    <sheet name="1701二部" sheetId="41" r:id="rId2"/>
    <sheet name="1702" sheetId="40" r:id="rId3"/>
    <sheet name="1703" sheetId="39" r:id="rId4"/>
    <sheet name="1704" sheetId="38" r:id="rId5"/>
    <sheet name="1705" sheetId="31" r:id="rId6"/>
    <sheet name="1706" sheetId="32" r:id="rId7"/>
    <sheet name="1707" sheetId="33" r:id="rId8"/>
    <sheet name="1708" sheetId="34" r:id="rId9"/>
    <sheet name="1709" sheetId="35" r:id="rId10"/>
    <sheet name="1710" sheetId="36" r:id="rId11"/>
    <sheet name="1711" sheetId="37" r:id="rId12"/>
    <sheet name="1712" sheetId="28" r:id="rId13"/>
    <sheet name="1801" sheetId="27" r:id="rId14"/>
    <sheet name="1802" sheetId="26" r:id="rId15"/>
    <sheet name="1803" sheetId="25" r:id="rId16"/>
    <sheet name="1804" sheetId="24" r:id="rId17"/>
    <sheet name="1805" sheetId="23" r:id="rId18"/>
    <sheet name="1806" sheetId="22" r:id="rId19"/>
    <sheet name="1807" sheetId="20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42" l="1"/>
  <c r="F10" i="42"/>
  <c r="F9" i="42"/>
  <c r="F8" i="42"/>
  <c r="F7" i="42"/>
  <c r="F6" i="42"/>
  <c r="F4" i="42"/>
  <c r="F5" i="42" l="1"/>
  <c r="F3" i="42"/>
  <c r="F16" i="28" l="1"/>
  <c r="F15" i="28"/>
  <c r="F14" i="28"/>
  <c r="F16" i="37"/>
  <c r="F15" i="37"/>
  <c r="F14" i="37"/>
  <c r="F16" i="36"/>
  <c r="F15" i="36"/>
  <c r="F14" i="36"/>
  <c r="F16" i="35"/>
  <c r="F15" i="35"/>
  <c r="F14" i="35"/>
  <c r="F16" i="34"/>
  <c r="F15" i="34"/>
  <c r="F14" i="34"/>
  <c r="F16" i="33"/>
  <c r="F15" i="33"/>
  <c r="F14" i="33"/>
  <c r="F16" i="32"/>
  <c r="F15" i="32"/>
  <c r="F14" i="32"/>
  <c r="F16" i="31"/>
  <c r="F15" i="31"/>
  <c r="F14" i="31"/>
  <c r="F18" i="38"/>
  <c r="F17" i="38"/>
  <c r="F16" i="38"/>
  <c r="F11" i="37" l="1"/>
  <c r="F10" i="37"/>
  <c r="F9" i="37"/>
  <c r="F7" i="37"/>
  <c r="F8" i="37"/>
  <c r="F6" i="37"/>
  <c r="F4" i="37"/>
  <c r="F11" i="36"/>
  <c r="F10" i="36"/>
  <c r="F9" i="36"/>
  <c r="F8" i="36"/>
  <c r="F7" i="36"/>
  <c r="F6" i="36"/>
  <c r="F4" i="36"/>
  <c r="F11" i="35"/>
  <c r="F10" i="35"/>
  <c r="F9" i="35"/>
  <c r="F7" i="35"/>
  <c r="F8" i="35"/>
  <c r="F6" i="35"/>
  <c r="F4" i="35"/>
  <c r="F11" i="34"/>
  <c r="F10" i="34"/>
  <c r="F9" i="34"/>
  <c r="F7" i="34"/>
  <c r="F8" i="34"/>
  <c r="F6" i="34"/>
  <c r="F4" i="34"/>
  <c r="F11" i="33"/>
  <c r="F10" i="33"/>
  <c r="F9" i="33"/>
  <c r="F7" i="33"/>
  <c r="F8" i="33"/>
  <c r="F6" i="33"/>
  <c r="F5" i="33"/>
  <c r="F4" i="33"/>
  <c r="F3" i="33"/>
  <c r="F11" i="32"/>
  <c r="F10" i="32"/>
  <c r="F9" i="32"/>
  <c r="F7" i="32"/>
  <c r="F8" i="32"/>
  <c r="F6" i="32"/>
  <c r="F5" i="32"/>
  <c r="F3" i="32"/>
  <c r="F4" i="32"/>
  <c r="F11" i="31" l="1"/>
  <c r="F10" i="31"/>
  <c r="F9" i="31"/>
  <c r="F7" i="31"/>
  <c r="F8" i="31"/>
  <c r="F6" i="31"/>
  <c r="F5" i="31"/>
  <c r="F4" i="31"/>
  <c r="F3" i="31"/>
  <c r="F13" i="38" l="1"/>
  <c r="F12" i="38"/>
  <c r="F11" i="38"/>
  <c r="F9" i="38"/>
  <c r="F10" i="38"/>
  <c r="F6" i="38"/>
  <c r="F7" i="38"/>
  <c r="F8" i="38"/>
  <c r="F10" i="39"/>
  <c r="F9" i="39"/>
  <c r="F11" i="39"/>
  <c r="F8" i="39"/>
  <c r="F7" i="39"/>
  <c r="F6" i="39"/>
  <c r="F5" i="39"/>
  <c r="F4" i="39"/>
  <c r="F3" i="39"/>
  <c r="F12" i="40"/>
  <c r="F11" i="40"/>
  <c r="F13" i="40"/>
  <c r="F10" i="40"/>
  <c r="F9" i="40"/>
  <c r="F8" i="40"/>
  <c r="F7" i="40"/>
  <c r="F6" i="40"/>
  <c r="F5" i="40"/>
  <c r="F10" i="41" l="1"/>
  <c r="F9" i="41"/>
  <c r="F11" i="41"/>
  <c r="F7" i="41"/>
  <c r="F8" i="41"/>
  <c r="F6" i="41"/>
  <c r="F5" i="41"/>
  <c r="F4" i="41"/>
  <c r="F3" i="41"/>
  <c r="F11" i="28"/>
  <c r="F10" i="28"/>
  <c r="F9" i="28"/>
  <c r="F7" i="28"/>
  <c r="F8" i="28"/>
  <c r="F6" i="28"/>
  <c r="F4" i="28"/>
  <c r="F5" i="38"/>
  <c r="F3" i="28" l="1"/>
  <c r="F3" i="37"/>
  <c r="F3" i="36"/>
  <c r="F3" i="35"/>
  <c r="F3" i="34"/>
  <c r="F5" i="34" l="1"/>
  <c r="F5" i="35"/>
  <c r="F5" i="36"/>
  <c r="F5" i="37"/>
  <c r="F5" i="28"/>
  <c r="F25" i="38"/>
  <c r="F24" i="38"/>
  <c r="F23" i="38"/>
  <c r="F22" i="38"/>
  <c r="F21" i="38"/>
  <c r="F20" i="38"/>
  <c r="F19" i="38"/>
  <c r="F23" i="31"/>
  <c r="F22" i="31"/>
  <c r="F21" i="31"/>
  <c r="F20" i="31"/>
  <c r="F19" i="31"/>
  <c r="F18" i="31"/>
  <c r="F17" i="31"/>
  <c r="F23" i="32"/>
  <c r="F22" i="32"/>
  <c r="F21" i="32"/>
  <c r="F20" i="32"/>
  <c r="F19" i="32"/>
  <c r="F18" i="32"/>
  <c r="F17" i="32"/>
  <c r="F23" i="33"/>
  <c r="F22" i="33"/>
  <c r="F21" i="33"/>
  <c r="F20" i="33"/>
  <c r="F19" i="33"/>
  <c r="F18" i="33"/>
  <c r="F17" i="33"/>
  <c r="F23" i="34"/>
  <c r="F22" i="34"/>
  <c r="F21" i="34"/>
  <c r="F20" i="34"/>
  <c r="F19" i="34"/>
  <c r="F18" i="34"/>
  <c r="F17" i="34"/>
  <c r="F23" i="35" l="1"/>
  <c r="F22" i="35"/>
  <c r="F21" i="35"/>
  <c r="F20" i="35"/>
  <c r="F19" i="35"/>
  <c r="F18" i="35"/>
  <c r="F17" i="35"/>
  <c r="F23" i="36"/>
  <c r="F22" i="36"/>
  <c r="F21" i="36"/>
  <c r="F20" i="36"/>
  <c r="F19" i="36"/>
  <c r="F18" i="36"/>
  <c r="F17" i="36"/>
  <c r="F23" i="37"/>
  <c r="F22" i="37"/>
  <c r="F21" i="37"/>
  <c r="F20" i="37"/>
  <c r="F19" i="37"/>
  <c r="F18" i="37"/>
  <c r="F17" i="37"/>
  <c r="F23" i="28"/>
  <c r="F22" i="28"/>
  <c r="F21" i="28"/>
  <c r="F20" i="28"/>
  <c r="F19" i="28"/>
  <c r="F18" i="28"/>
  <c r="F17" i="28"/>
  <c r="F13" i="20"/>
  <c r="F12" i="20"/>
  <c r="F11" i="20"/>
  <c r="F10" i="20"/>
  <c r="F9" i="20"/>
  <c r="F8" i="20"/>
  <c r="F7" i="20"/>
  <c r="F6" i="20"/>
  <c r="F5" i="20"/>
  <c r="F11" i="22"/>
  <c r="F10" i="22"/>
  <c r="F9" i="22"/>
  <c r="F8" i="22"/>
  <c r="F7" i="22"/>
  <c r="F6" i="22"/>
  <c r="F5" i="22"/>
  <c r="F4" i="22"/>
  <c r="F3" i="22"/>
  <c r="F11" i="23"/>
  <c r="F10" i="23"/>
  <c r="F9" i="23"/>
  <c r="F8" i="23"/>
  <c r="F7" i="23"/>
  <c r="F6" i="23"/>
  <c r="F4" i="23"/>
  <c r="F5" i="23"/>
  <c r="F3" i="23"/>
  <c r="F11" i="24"/>
  <c r="F10" i="24"/>
  <c r="F9" i="24"/>
  <c r="F8" i="24"/>
  <c r="F7" i="24"/>
  <c r="F6" i="24"/>
  <c r="F5" i="24"/>
  <c r="F4" i="24"/>
  <c r="F3" i="24"/>
  <c r="F11" i="25" l="1"/>
  <c r="F10" i="25"/>
  <c r="F9" i="25"/>
  <c r="F8" i="25"/>
  <c r="F7" i="25"/>
  <c r="F6" i="25"/>
  <c r="F5" i="25"/>
  <c r="F4" i="25"/>
  <c r="F3" i="25"/>
  <c r="F11" i="26" l="1"/>
  <c r="F10" i="26"/>
  <c r="F9" i="26"/>
  <c r="F8" i="26"/>
  <c r="F7" i="26"/>
  <c r="F6" i="26"/>
  <c r="F5" i="26"/>
  <c r="F4" i="26"/>
  <c r="F3" i="26"/>
  <c r="F11" i="27"/>
  <c r="F10" i="27"/>
  <c r="F9" i="27"/>
  <c r="F8" i="27"/>
  <c r="F7" i="27"/>
  <c r="F6" i="27"/>
  <c r="F5" i="27"/>
  <c r="F4" i="27"/>
  <c r="F3" i="27"/>
  <c r="F23" i="27"/>
  <c r="F22" i="27"/>
  <c r="F21" i="27"/>
  <c r="F20" i="27"/>
  <c r="F19" i="27"/>
  <c r="F18" i="27"/>
  <c r="F17" i="27"/>
  <c r="F16" i="27"/>
  <c r="F15" i="27"/>
  <c r="F14" i="27"/>
  <c r="F23" i="26"/>
  <c r="F22" i="26"/>
  <c r="F21" i="26"/>
  <c r="F20" i="26"/>
  <c r="F19" i="26"/>
  <c r="F18" i="26"/>
  <c r="F17" i="26"/>
  <c r="F16" i="26"/>
  <c r="F15" i="26"/>
  <c r="F14" i="26"/>
  <c r="F23" i="25"/>
  <c r="F22" i="25"/>
  <c r="F21" i="25"/>
  <c r="F20" i="25"/>
  <c r="F19" i="25"/>
  <c r="F18" i="25"/>
  <c r="F17" i="25"/>
  <c r="F16" i="25"/>
  <c r="F15" i="25"/>
  <c r="F14" i="25"/>
  <c r="F23" i="24"/>
  <c r="F22" i="24"/>
  <c r="F21" i="24"/>
  <c r="F20" i="24"/>
  <c r="F19" i="24"/>
  <c r="F18" i="24"/>
  <c r="F17" i="24"/>
  <c r="F16" i="24"/>
  <c r="F15" i="24"/>
  <c r="F14" i="24"/>
  <c r="F23" i="23"/>
  <c r="F22" i="23"/>
  <c r="F21" i="23"/>
  <c r="F20" i="23"/>
  <c r="F19" i="23"/>
  <c r="F18" i="23"/>
  <c r="F17" i="23"/>
  <c r="F16" i="23"/>
  <c r="F15" i="23"/>
  <c r="F14" i="23"/>
  <c r="F16" i="22"/>
  <c r="F15" i="22"/>
  <c r="F14" i="22"/>
  <c r="F18" i="20"/>
  <c r="F17" i="20"/>
  <c r="F16" i="20"/>
  <c r="F23" i="22"/>
  <c r="F22" i="22"/>
  <c r="F21" i="22"/>
  <c r="F20" i="22"/>
  <c r="F19" i="22"/>
  <c r="F18" i="22"/>
  <c r="F17" i="22"/>
  <c r="F25" i="20"/>
  <c r="F24" i="20"/>
  <c r="F23" i="20"/>
  <c r="F22" i="20"/>
  <c r="F21" i="20"/>
  <c r="F20" i="20"/>
  <c r="F19" i="20"/>
</calcChain>
</file>

<file path=xl/sharedStrings.xml><?xml version="1.0" encoding="utf-8"?>
<sst xmlns="http://schemas.openxmlformats.org/spreadsheetml/2006/main" count="3224" uniqueCount="981">
  <si>
    <t>16,15,14</t>
    <phoneticPr fontId="1"/>
  </si>
  <si>
    <t>タイプ偉人・名物の防25％UP</t>
    <phoneticPr fontId="1"/>
  </si>
  <si>
    <t>タイプ武人・伝承の攻25％UP</t>
    <phoneticPr fontId="1"/>
  </si>
  <si>
    <t>タイプ知性派・飲食の攻30％UP</t>
    <phoneticPr fontId="1"/>
  </si>
  <si>
    <t>タイプ妖怪・名物の攻25％UP</t>
    <phoneticPr fontId="1"/>
  </si>
  <si>
    <t>タイプ武人・姫の防25％UP</t>
    <phoneticPr fontId="1"/>
  </si>
  <si>
    <t>タイプ武人・姫の攻25％UP</t>
    <phoneticPr fontId="1"/>
  </si>
  <si>
    <t>14+?</t>
    <phoneticPr fontId="1"/>
  </si>
  <si>
    <t>16,15,15,14,14</t>
    <phoneticPr fontId="1"/>
  </si>
  <si>
    <t>SR</t>
    <phoneticPr fontId="1"/>
  </si>
  <si>
    <t>HR</t>
    <phoneticPr fontId="1"/>
  </si>
  <si>
    <t>R</t>
    <phoneticPr fontId="1"/>
  </si>
  <si>
    <t>処12+10+10 処10</t>
    <rPh sb="0" eb="1">
      <t>トコロ</t>
    </rPh>
    <rPh sb="10" eb="11">
      <t>トコロ</t>
    </rPh>
    <phoneticPr fontId="1"/>
  </si>
  <si>
    <t>処多数</t>
    <rPh sb="1" eb="3">
      <t>タスウ</t>
    </rPh>
    <phoneticPr fontId="1"/>
  </si>
  <si>
    <t>処14+13+11 処11</t>
    <rPh sb="0" eb="1">
      <t>トコロ</t>
    </rPh>
    <rPh sb="10" eb="11">
      <t>トコロ</t>
    </rPh>
    <phoneticPr fontId="1"/>
  </si>
  <si>
    <t>多数</t>
  </si>
  <si>
    <t>処12+10+竜 処13</t>
    <rPh sb="7" eb="8">
      <t>リュウ</t>
    </rPh>
    <rPh sb="9" eb="10">
      <t>トコロ</t>
    </rPh>
    <phoneticPr fontId="1"/>
  </si>
  <si>
    <t>処13+13+13 処16,15,15,13</t>
    <rPh sb="0" eb="1">
      <t>トコロ</t>
    </rPh>
    <rPh sb="10" eb="11">
      <t>トコロ</t>
    </rPh>
    <phoneticPr fontId="1"/>
  </si>
  <si>
    <t>処15+10+14 処14+13</t>
    <rPh sb="0" eb="1">
      <t>トコロ</t>
    </rPh>
    <rPh sb="10" eb="11">
      <t>トコロ</t>
    </rPh>
    <phoneticPr fontId="1"/>
  </si>
  <si>
    <t>所属</t>
    <rPh sb="0" eb="2">
      <t>ショゾク</t>
    </rPh>
    <phoneticPr fontId="1"/>
  </si>
  <si>
    <t>タイプ</t>
    <phoneticPr fontId="1"/>
  </si>
  <si>
    <t>隊士名</t>
    <rPh sb="0" eb="2">
      <t>タイシ</t>
    </rPh>
    <rPh sb="2" eb="3">
      <t>メイ</t>
    </rPh>
    <phoneticPr fontId="1"/>
  </si>
  <si>
    <t>進化</t>
    <rPh sb="0" eb="2">
      <t>シンカ</t>
    </rPh>
    <phoneticPr fontId="1"/>
  </si>
  <si>
    <t>MAX攻</t>
    <rPh sb="3" eb="4">
      <t>コウ</t>
    </rPh>
    <phoneticPr fontId="1"/>
  </si>
  <si>
    <t>MAX防</t>
    <rPh sb="3" eb="4">
      <t>ボウ</t>
    </rPh>
    <phoneticPr fontId="1"/>
  </si>
  <si>
    <t>スキル名</t>
    <rPh sb="3" eb="4">
      <t>メイ</t>
    </rPh>
    <phoneticPr fontId="1"/>
  </si>
  <si>
    <t>レア度</t>
    <rPh sb="2" eb="3">
      <t>ド</t>
    </rPh>
    <phoneticPr fontId="1"/>
  </si>
  <si>
    <t>西日本</t>
    <rPh sb="0" eb="1">
      <t>ニシ</t>
    </rPh>
    <rPh sb="1" eb="3">
      <t>ニホン</t>
    </rPh>
    <phoneticPr fontId="1"/>
  </si>
  <si>
    <t>タイプ【姫】の攻25％UP</t>
    <phoneticPr fontId="1"/>
  </si>
  <si>
    <t>タイプ【偉人】の攻25％UP</t>
    <phoneticPr fontId="1"/>
  </si>
  <si>
    <t>獲得</t>
    <rPh sb="0" eb="2">
      <t>カクトク</t>
    </rPh>
    <phoneticPr fontId="1"/>
  </si>
  <si>
    <t>しんせいくしかつちゃん</t>
    <phoneticPr fontId="1"/>
  </si>
  <si>
    <t>[16],[15],[14]</t>
    <phoneticPr fontId="1"/>
  </si>
  <si>
    <t>中部</t>
    <rPh sb="0" eb="2">
      <t>チュウブ</t>
    </rPh>
    <phoneticPr fontId="1"/>
  </si>
  <si>
    <t>【新生】狐の嫁入り</t>
    <rPh sb="1" eb="3">
      <t>シンセイ</t>
    </rPh>
    <rPh sb="4" eb="5">
      <t>キツネ</t>
    </rPh>
    <rPh sb="6" eb="8">
      <t>ヨメイ</t>
    </rPh>
    <phoneticPr fontId="1"/>
  </si>
  <si>
    <t>[新生]【学問の神様】菅原道真</t>
    <rPh sb="1" eb="3">
      <t>シンセイ</t>
    </rPh>
    <rPh sb="5" eb="7">
      <t>ガクモン</t>
    </rPh>
    <rPh sb="8" eb="10">
      <t>カミサマ</t>
    </rPh>
    <rPh sb="11" eb="15">
      <t>スガワラノミチザネ</t>
    </rPh>
    <phoneticPr fontId="1"/>
  </si>
  <si>
    <t>[新生]軽井沢高原</t>
    <rPh sb="1" eb="3">
      <t>シンセイ</t>
    </rPh>
    <rPh sb="4" eb="7">
      <t>カルイザワ</t>
    </rPh>
    <rPh sb="7" eb="9">
      <t>コウゲン</t>
    </rPh>
    <phoneticPr fontId="1"/>
  </si>
  <si>
    <t>咲き誇る高原の大地</t>
    <rPh sb="0" eb="1">
      <t>サ</t>
    </rPh>
    <rPh sb="2" eb="3">
      <t>ホコ</t>
    </rPh>
    <rPh sb="4" eb="6">
      <t>コウゲン</t>
    </rPh>
    <rPh sb="7" eb="9">
      <t>ダイチ</t>
    </rPh>
    <phoneticPr fontId="1"/>
  </si>
  <si>
    <t>匂いおこせよ梅の花</t>
    <rPh sb="0" eb="1">
      <t>ニオ</t>
    </rPh>
    <rPh sb="6" eb="7">
      <t>ウメ</t>
    </rPh>
    <rPh sb="8" eb="9">
      <t>ハナ</t>
    </rPh>
    <phoneticPr fontId="1"/>
  </si>
  <si>
    <t>燐光の狐火</t>
    <rPh sb="0" eb="2">
      <t>リンコウ</t>
    </rPh>
    <rPh sb="3" eb="4">
      <t>キツネ</t>
    </rPh>
    <rPh sb="4" eb="5">
      <t>ビ</t>
    </rPh>
    <phoneticPr fontId="1"/>
  </si>
  <si>
    <t>肉筆の浮世人</t>
    <rPh sb="0" eb="2">
      <t>ニクヒツ</t>
    </rPh>
    <rPh sb="3" eb="5">
      <t>ウキヨ</t>
    </rPh>
    <rPh sb="5" eb="6">
      <t>ヒト</t>
    </rPh>
    <phoneticPr fontId="1"/>
  </si>
  <si>
    <t>天照之閃光</t>
    <rPh sb="0" eb="2">
      <t>アマテラス</t>
    </rPh>
    <rPh sb="2" eb="3">
      <t>ノ</t>
    </rPh>
    <rPh sb="3" eb="5">
      <t>センコウ</t>
    </rPh>
    <phoneticPr fontId="1"/>
  </si>
  <si>
    <t>ソース二度付けご法度！</t>
    <rPh sb="3" eb="5">
      <t>ニド</t>
    </rPh>
    <rPh sb="5" eb="6">
      <t>ヅ</t>
    </rPh>
    <rPh sb="8" eb="10">
      <t>ハット</t>
    </rPh>
    <phoneticPr fontId="1"/>
  </si>
  <si>
    <t>神に授けられし英雄譚</t>
    <rPh sb="0" eb="1">
      <t>カミ</t>
    </rPh>
    <rPh sb="2" eb="3">
      <t>サズ</t>
    </rPh>
    <rPh sb="7" eb="9">
      <t>エイユウ</t>
    </rPh>
    <rPh sb="9" eb="10">
      <t>タン</t>
    </rPh>
    <phoneticPr fontId="1"/>
  </si>
  <si>
    <t>赤き煉瓦の聖夜大祭</t>
    <rPh sb="0" eb="1">
      <t>アカ</t>
    </rPh>
    <rPh sb="2" eb="4">
      <t>レンガ</t>
    </rPh>
    <rPh sb="5" eb="7">
      <t>セイヤ</t>
    </rPh>
    <rPh sb="7" eb="9">
      <t>タイサイ</t>
    </rPh>
    <phoneticPr fontId="1"/>
  </si>
  <si>
    <t>万夫不当の鬼島津</t>
    <rPh sb="0" eb="1">
      <t>マン</t>
    </rPh>
    <rPh sb="5" eb="6">
      <t>オニ</t>
    </rPh>
    <rPh sb="6" eb="8">
      <t>シマヅ</t>
    </rPh>
    <phoneticPr fontId="1"/>
  </si>
  <si>
    <t>聞きしに勝る神の器</t>
    <rPh sb="0" eb="1">
      <t>キ</t>
    </rPh>
    <rPh sb="4" eb="5">
      <t>マサ</t>
    </rPh>
    <rPh sb="6" eb="7">
      <t>カミ</t>
    </rPh>
    <rPh sb="8" eb="9">
      <t>ウツワ</t>
    </rPh>
    <phoneticPr fontId="1"/>
  </si>
  <si>
    <t>東日本</t>
    <rPh sb="0" eb="1">
      <t>ヒガシ</t>
    </rPh>
    <rPh sb="1" eb="3">
      <t>ニホン</t>
    </rPh>
    <phoneticPr fontId="1"/>
  </si>
  <si>
    <t>失念</t>
    <rPh sb="0" eb="2">
      <t>シツネン</t>
    </rPh>
    <phoneticPr fontId="1"/>
  </si>
  <si>
    <t>処分</t>
    <rPh sb="0" eb="2">
      <t>ショブン</t>
    </rPh>
    <phoneticPr fontId="1"/>
  </si>
  <si>
    <t>処13+13+13 処14</t>
    <rPh sb="0" eb="1">
      <t>トコロ</t>
    </rPh>
    <rPh sb="10" eb="11">
      <t>トコロ</t>
    </rPh>
    <phoneticPr fontId="1"/>
  </si>
  <si>
    <t>武人</t>
    <rPh sb="0" eb="2">
      <t>ブジン</t>
    </rPh>
    <phoneticPr fontId="1"/>
  </si>
  <si>
    <t>[新生]池田せん</t>
    <rPh sb="1" eb="3">
      <t>シンセイ</t>
    </rPh>
    <rPh sb="4" eb="6">
      <t>イケダ</t>
    </rPh>
    <phoneticPr fontId="1"/>
  </si>
  <si>
    <t>処16+14+15</t>
    <rPh sb="0" eb="1">
      <t>トコロ</t>
    </rPh>
    <phoneticPr fontId="1"/>
  </si>
  <si>
    <t>妖怪</t>
    <rPh sb="0" eb="2">
      <t>ヨウカイ</t>
    </rPh>
    <phoneticPr fontId="1"/>
  </si>
  <si>
    <t>【七夕】蝶化身</t>
    <rPh sb="1" eb="3">
      <t>タナバタ</t>
    </rPh>
    <rPh sb="4" eb="5">
      <t>チョウ</t>
    </rPh>
    <rPh sb="5" eb="7">
      <t>ケシン</t>
    </rPh>
    <phoneticPr fontId="1"/>
  </si>
  <si>
    <t>たなばたちょうけしん</t>
    <phoneticPr fontId="1"/>
  </si>
  <si>
    <t>北海道・東北</t>
    <rPh sb="0" eb="3">
      <t>ホッカイドウ</t>
    </rPh>
    <rPh sb="4" eb="6">
      <t>トウホク</t>
    </rPh>
    <phoneticPr fontId="1"/>
  </si>
  <si>
    <t>飲食</t>
    <rPh sb="0" eb="2">
      <t>インショク</t>
    </rPh>
    <phoneticPr fontId="1"/>
  </si>
  <si>
    <t>[新生]ハスカップワインちゃん</t>
    <rPh sb="1" eb="3">
      <t>シンセイ</t>
    </rPh>
    <phoneticPr fontId="1"/>
  </si>
  <si>
    <t>しんせいはすかっぷわいんちゃん</t>
    <phoneticPr fontId="1"/>
  </si>
  <si>
    <t>中国・四国</t>
    <rPh sb="0" eb="2">
      <t>チュウゴク</t>
    </rPh>
    <rPh sb="3" eb="5">
      <t>シコク</t>
    </rPh>
    <phoneticPr fontId="1"/>
  </si>
  <si>
    <t>[新生]ぬらりひょん</t>
    <rPh sb="1" eb="3">
      <t>シンセイ</t>
    </rPh>
    <phoneticPr fontId="1"/>
  </si>
  <si>
    <t>しんせいぬらりひょん</t>
    <phoneticPr fontId="1"/>
  </si>
  <si>
    <t>九州・沖縄</t>
    <rPh sb="0" eb="2">
      <t>キュウシュウ</t>
    </rPh>
    <rPh sb="3" eb="5">
      <t>オキナワ</t>
    </rPh>
    <phoneticPr fontId="1"/>
  </si>
  <si>
    <t>[新生]彦山豊前坊</t>
    <rPh sb="1" eb="3">
      <t>シンセイ</t>
    </rPh>
    <rPh sb="4" eb="6">
      <t>ヒコヤマ</t>
    </rPh>
    <rPh sb="6" eb="8">
      <t>トヨマエ</t>
    </rPh>
    <rPh sb="8" eb="9">
      <t>ボウ</t>
    </rPh>
    <phoneticPr fontId="1"/>
  </si>
  <si>
    <t>[新生]【大縄跳び】シッケンケン</t>
    <phoneticPr fontId="1"/>
  </si>
  <si>
    <t>しんせいおおなわとびしっけんけん</t>
    <phoneticPr fontId="1"/>
  </si>
  <si>
    <t>[新生]三吉鬼</t>
    <phoneticPr fontId="1"/>
  </si>
  <si>
    <t>岡山</t>
    <rPh sb="0" eb="2">
      <t>オカヤマ</t>
    </rPh>
    <phoneticPr fontId="1"/>
  </si>
  <si>
    <t>[新生]新免無二斎</t>
    <rPh sb="1" eb="3">
      <t>シンセイ</t>
    </rPh>
    <rPh sb="4" eb="6">
      <t>シンメン</t>
    </rPh>
    <rPh sb="6" eb="8">
      <t>ムニ</t>
    </rPh>
    <rPh sb="8" eb="9">
      <t>サイ</t>
    </rPh>
    <phoneticPr fontId="1"/>
  </si>
  <si>
    <t>[新生]お化け屋敷</t>
    <phoneticPr fontId="1"/>
  </si>
  <si>
    <t>[新生]置行堀</t>
    <phoneticPr fontId="1"/>
  </si>
  <si>
    <t>東京</t>
    <rPh sb="0" eb="2">
      <t>トウキョウ</t>
    </rPh>
    <phoneticPr fontId="1"/>
  </si>
  <si>
    <t>山梨</t>
    <rPh sb="0" eb="2">
      <t>ヤマナシ</t>
    </rPh>
    <phoneticPr fontId="1"/>
  </si>
  <si>
    <t>名物</t>
    <rPh sb="0" eb="2">
      <t>メイブツ</t>
    </rPh>
    <phoneticPr fontId="1"/>
  </si>
  <si>
    <t>しんせいひこさんぶぜんぼう</t>
    <phoneticPr fontId="1"/>
  </si>
  <si>
    <t>しんせいしんめんむにさい</t>
    <phoneticPr fontId="1"/>
  </si>
  <si>
    <t>コスト</t>
    <phoneticPr fontId="1"/>
  </si>
  <si>
    <t>しんせいさんきちおに</t>
    <phoneticPr fontId="1"/>
  </si>
  <si>
    <t>しんせいおばけやしき</t>
    <phoneticPr fontId="1"/>
  </si>
  <si>
    <t>しんせいおいてけぼり</t>
    <phoneticPr fontId="1"/>
  </si>
  <si>
    <t>16,15,15,13,[12不具合取得],10</t>
    <rPh sb="15" eb="18">
      <t>フグアイ</t>
    </rPh>
    <rPh sb="18" eb="20">
      <t>シュトク</t>
    </rPh>
    <phoneticPr fontId="1"/>
  </si>
  <si>
    <t>処13+13+13</t>
    <rPh sb="0" eb="1">
      <t>トコロ</t>
    </rPh>
    <phoneticPr fontId="1"/>
  </si>
  <si>
    <t>処12+10+13 処16,15,15</t>
    <rPh sb="0" eb="1">
      <t>トコロ</t>
    </rPh>
    <rPh sb="10" eb="11">
      <t>トコロ</t>
    </rPh>
    <phoneticPr fontId="1"/>
  </si>
  <si>
    <t>処16+14+15 処16</t>
    <rPh sb="0" eb="1">
      <t>トコロ</t>
    </rPh>
    <rPh sb="10" eb="11">
      <t>トコロ</t>
    </rPh>
    <phoneticPr fontId="1"/>
  </si>
  <si>
    <t>タイプ武人・姫の防25%UP</t>
    <rPh sb="3" eb="5">
      <t>ブジン</t>
    </rPh>
    <rPh sb="6" eb="7">
      <t>ヒメ</t>
    </rPh>
    <rPh sb="8" eb="9">
      <t>ボウ</t>
    </rPh>
    <phoneticPr fontId="1"/>
  </si>
  <si>
    <t>タイプ神秘・飲食の攻30%UP</t>
    <rPh sb="3" eb="5">
      <t>シンピ</t>
    </rPh>
    <rPh sb="6" eb="8">
      <t>インショク</t>
    </rPh>
    <rPh sb="9" eb="10">
      <t>コウ</t>
    </rPh>
    <phoneticPr fontId="1"/>
  </si>
  <si>
    <t>タイプ偉人・妖怪の攻30%UP</t>
    <rPh sb="3" eb="5">
      <t>イジン</t>
    </rPh>
    <rPh sb="6" eb="8">
      <t>ヨウカイ</t>
    </rPh>
    <rPh sb="9" eb="10">
      <t>コウ</t>
    </rPh>
    <phoneticPr fontId="1"/>
  </si>
  <si>
    <t>タイプ【武人】の攻25％UP</t>
    <phoneticPr fontId="1"/>
  </si>
  <si>
    <t>処17+12+(14+14),10</t>
    <rPh sb="0" eb="1">
      <t>ショ</t>
    </rPh>
    <phoneticPr fontId="1"/>
  </si>
  <si>
    <t>15(↑20古豪戦傑ガチャ)+12+(14+13)</t>
    <rPh sb="6" eb="8">
      <t>コゴウ</t>
    </rPh>
    <rPh sb="8" eb="9">
      <t>セン</t>
    </rPh>
    <rPh sb="9" eb="10">
      <t>ケツ</t>
    </rPh>
    <phoneticPr fontId="1"/>
  </si>
  <si>
    <t>ID</t>
    <phoneticPr fontId="1"/>
  </si>
  <si>
    <t>画像</t>
    <rPh sb="0" eb="2">
      <t>ガゾウ</t>
    </rPh>
    <phoneticPr fontId="1"/>
  </si>
  <si>
    <t>読み方</t>
    <rPh sb="0" eb="1">
      <t>ヨ</t>
    </rPh>
    <rPh sb="2" eb="3">
      <t>カタ</t>
    </rPh>
    <phoneticPr fontId="1"/>
  </si>
  <si>
    <t>SSR</t>
  </si>
  <si>
    <t>神秘</t>
    <rPh sb="0" eb="2">
      <t>シンピ</t>
    </rPh>
    <phoneticPr fontId="1"/>
  </si>
  <si>
    <t>15,14,14,13</t>
  </si>
  <si>
    <t>13,13,13</t>
  </si>
  <si>
    <t>12,10,10,10</t>
  </si>
  <si>
    <t>13,12,10</t>
  </si>
  <si>
    <t>14,13,11,11</t>
  </si>
  <si>
    <t>天の川にかかる胡蝶の夢</t>
  </si>
  <si>
    <t>不老不死の果実酒</t>
  </si>
  <si>
    <t>とらえられぬ妖怪王</t>
  </si>
  <si>
    <t>九州天狗の頭領</t>
  </si>
  <si>
    <t>超一流の縄使い</t>
  </si>
  <si>
    <t>タイプ偉人・名物の攻25％UP</t>
  </si>
  <si>
    <t>気まぐれ呑兵衛の善行</t>
  </si>
  <si>
    <t>タイプ偉人・名物の防25％UP</t>
  </si>
  <si>
    <t>唯一無二の才</t>
  </si>
  <si>
    <t>タイプ【伝承】の防25％UP</t>
  </si>
  <si>
    <t>恐怖の娯楽屋敷</t>
  </si>
  <si>
    <t>タイプ【偉人】の防25％UP</t>
  </si>
  <si>
    <t>狸娘の脅し文句</t>
  </si>
  <si>
    <t>タイプ【名物】の攻25％UP</t>
  </si>
  <si>
    <t>タイプ妖怪・名物の攻25％UP</t>
  </si>
  <si>
    <t>タイプ知性派・飲食の攻25％UP</t>
  </si>
  <si>
    <t>タイプ神秘・知性派の攻25％UP</t>
  </si>
  <si>
    <t>タイプ武人・姫の防25％UP</t>
  </si>
  <si>
    <t>タイプ偉人・妖怪の防25％UP</t>
  </si>
  <si>
    <t>タイプ神秘・飲食の防25％UP</t>
  </si>
  <si>
    <t>タイプ姫・伝承の攻25％UP</t>
  </si>
  <si>
    <t>[16],[15],[14]</t>
  </si>
  <si>
    <t>しんせいきつねのよめいり</t>
  </si>
  <si>
    <t>しんせいがくもんのかみさますがわらみちざね</t>
  </si>
  <si>
    <t>しんせいかるいざわこうげん</t>
  </si>
  <si>
    <t>しんせいとうしゅうさいしゃらく</t>
  </si>
  <si>
    <t>しんせいあまてらす</t>
  </si>
  <si>
    <t>しんせいくしかつちゃん</t>
  </si>
  <si>
    <t>しんせいおおえやまおにでんせつみなもとのよりみつ</t>
  </si>
  <si>
    <t>しんせいせいやあかれんがそうこちゃん</t>
  </si>
  <si>
    <t>しんせいおにぐんししまずよしひろ</t>
  </si>
  <si>
    <t>しんせいしちせいけんしょうとくたいし</t>
  </si>
  <si>
    <t>【新生】東洲斎写楽</t>
  </si>
  <si>
    <t>【新生】アマテラス</t>
  </si>
  <si>
    <t>【新生】串カツちゃん</t>
  </si>
  <si>
    <t>【新生・大江山鬼伝説】源頼光</t>
  </si>
  <si>
    <t>【新生・聖夜】赤レンガ倉庫ちゃん</t>
  </si>
  <si>
    <t>【新生・鬼軍師】島津義弘</t>
  </si>
  <si>
    <t>【新生・七星剣】聖徳太子</t>
  </si>
  <si>
    <t>伝承</t>
  </si>
  <si>
    <t>九州・沖縄</t>
  </si>
  <si>
    <t>知性派</t>
  </si>
  <si>
    <t>名物</t>
  </si>
  <si>
    <t>中国・四国</t>
  </si>
  <si>
    <t>偉人</t>
  </si>
  <si>
    <t>無所属</t>
  </si>
  <si>
    <t>神秘</t>
  </si>
  <si>
    <t>近畿</t>
  </si>
  <si>
    <t>飲食</t>
  </si>
  <si>
    <t>関東</t>
  </si>
  <si>
    <t>武人</t>
  </si>
  <si>
    <t>復活新生SR引換券(攻防スキル値は1進MAX時のもの)</t>
    <rPh sb="15" eb="16">
      <t>アタイ</t>
    </rPh>
    <phoneticPr fontId="1"/>
  </si>
  <si>
    <t>黄金一錠</t>
  </si>
  <si>
    <t>燭台を断つ覇者の名刀</t>
  </si>
  <si>
    <t>女鉄砲隊の統率者</t>
  </si>
  <si>
    <t>山陽道の守護神</t>
  </si>
  <si>
    <t>群盗千破の勇</t>
  </si>
  <si>
    <t>天下統御の兵法指南</t>
  </si>
  <si>
    <t>タイプ姫・伝承の防25％UP</t>
  </si>
  <si>
    <t>信仰に生きた生涯</t>
  </si>
  <si>
    <t>タイプ【武人】の攻25％UP</t>
  </si>
  <si>
    <t>白と黒の微笑み</t>
  </si>
  <si>
    <t>タイプ【名物】の防25％UP</t>
  </si>
  <si>
    <t>傾奇者</t>
  </si>
  <si>
    <t>タイプ【姫】の攻25％UP</t>
  </si>
  <si>
    <t>せんごくひでひさ</t>
  </si>
  <si>
    <t>15,14,13,12</t>
  </si>
  <si>
    <t>しんせいしょくだいきりみつただ</t>
  </si>
  <si>
    <t>14,13,13,13</t>
  </si>
  <si>
    <t>しんせいいけだせん</t>
  </si>
  <si>
    <t>17,14,14,13,10</t>
  </si>
  <si>
    <t>しんせいきびつひこのみこと</t>
  </si>
  <si>
    <t>しんせいふじわらのとしひと</t>
  </si>
  <si>
    <t>しんせいやぎゅうむねのり</t>
  </si>
  <si>
    <t>しんせいなだふじん</t>
  </si>
  <si>
    <t>しんせいいごのせい</t>
  </si>
  <si>
    <t>しんせいまえだけいじ</t>
  </si>
  <si>
    <t>西日本</t>
  </si>
  <si>
    <t>仙石秀久</t>
  </si>
  <si>
    <t>北海道・東北</t>
  </si>
  <si>
    <t>[新生]燭台切光忠</t>
  </si>
  <si>
    <t>[新生]吉備津彦命</t>
  </si>
  <si>
    <t>[新生]藤原利仁</t>
  </si>
  <si>
    <t>[新生]柳生宗矩</t>
  </si>
  <si>
    <t>姫</t>
  </si>
  <si>
    <t>[新生]奈多夫人</t>
  </si>
  <si>
    <t>東京</t>
  </si>
  <si>
    <t>妖怪</t>
  </si>
  <si>
    <t>[新生]囲碁の精</t>
  </si>
  <si>
    <t>[新生]前田慶次</t>
  </si>
  <si>
    <t>ひないじどり</t>
  </si>
  <si>
    <t>15,14,13,13</t>
  </si>
  <si>
    <t>濃厚な味と歯ごたえを召し上がれ！</t>
  </si>
  <si>
    <t>しんせいうさぎぱふぇあきばめいど</t>
  </si>
  <si>
    <t>ふわもこのうさぎぱーてぃ</t>
  </si>
  <si>
    <t>しんせいずわいがにちゃん</t>
  </si>
  <si>
    <t>九死に一生の楚蟹</t>
  </si>
  <si>
    <t>しんせいずんだぱふぇ</t>
  </si>
  <si>
    <t>枝豆由来の優しい甘さ</t>
  </si>
  <si>
    <t>しんせいかみなりおこしちゃん</t>
  </si>
  <si>
    <t>浅草の雷銘菓</t>
  </si>
  <si>
    <t>しんせいめんたいふらんす</t>
  </si>
  <si>
    <t>明太ソースが人気の秘訣</t>
  </si>
  <si>
    <t>タイプ神秘・知性派の防25％UP</t>
  </si>
  <si>
    <t>しんせいみちながえい</t>
  </si>
  <si>
    <t>敏腕長崎女傑の一角</t>
  </si>
  <si>
    <t>タイプ【神秘】の防25％UP</t>
  </si>
  <si>
    <t>しんせいこうぼうだいし</t>
  </si>
  <si>
    <t>弘法筆を選ばず</t>
  </si>
  <si>
    <t>しんせいみかんぜりーちゃん</t>
  </si>
  <si>
    <t>ひんやり濃縮柑橘</t>
  </si>
  <si>
    <t>タイプ【飲食】の攻25％UP</t>
  </si>
  <si>
    <t>比内地鶏</t>
  </si>
  <si>
    <t>[新生]【うさぎパフェ】アキバメイド</t>
  </si>
  <si>
    <t>[新生]ズワイガニちゃん</t>
  </si>
  <si>
    <t>[新生]ずんだパフェ</t>
  </si>
  <si>
    <t>[新生]雷おこしちゃん</t>
  </si>
  <si>
    <t>[新生]明太フランス</t>
  </si>
  <si>
    <t>長崎</t>
  </si>
  <si>
    <t>[新生]道永エイ</t>
  </si>
  <si>
    <t>香川</t>
  </si>
  <si>
    <t>[新生]弘法大師</t>
  </si>
  <si>
    <t>[新生]みかんゼリーちゃん</t>
  </si>
  <si>
    <t>処17+14+(14(13↑2進後)+10)</t>
    <rPh sb="15" eb="16">
      <t>シン</t>
    </rPh>
    <rPh sb="16" eb="17">
      <t>ゴ</t>
    </rPh>
    <phoneticPr fontId="1"/>
  </si>
  <si>
    <t>がれい</t>
  </si>
  <si>
    <t>画に宿る執念</t>
  </si>
  <si>
    <t>しんせいきつねのほうじゅ</t>
  </si>
  <si>
    <t>16,16,14,14,13,13,13,13</t>
  </si>
  <si>
    <t>16+13+(14+14),13,13,13,16</t>
  </si>
  <si>
    <t>本性を暴く宝珠</t>
  </si>
  <si>
    <t>しんせいさくらめぐりやおびくに</t>
  </si>
  <si>
    <t>16,14,14,13,10</t>
  </si>
  <si>
    <t>処16+14+14 処13+10</t>
  </si>
  <si>
    <t>若木の成長で数える年月</t>
  </si>
  <si>
    <t>しんせいいねんび</t>
  </si>
  <si>
    <t>寄り添いの二つ火</t>
  </si>
  <si>
    <t>しんせいぬれおなご</t>
  </si>
  <si>
    <t>滴る悲哀の微笑み</t>
  </si>
  <si>
    <t>しんせいぼうれいやっさ</t>
  </si>
  <si>
    <t>忍び寄る柄杓の沈没</t>
  </si>
  <si>
    <t>しんせいかごいけのきつね</t>
  </si>
  <si>
    <t>化粧上手な可憐狐</t>
  </si>
  <si>
    <t>しんせいたぎしみみのみこと</t>
  </si>
  <si>
    <t>タギシミミの反逆</t>
  </si>
  <si>
    <t>タイプ【飲食】の防25％UP</t>
  </si>
  <si>
    <t>しんせいゆきおんな</t>
  </si>
  <si>
    <t>氷結美人</t>
  </si>
  <si>
    <t>タイプ【偉人】の攻25％UP</t>
  </si>
  <si>
    <t>画霊</t>
  </si>
  <si>
    <t>[新生]狐の宝珠</t>
  </si>
  <si>
    <t>中部</t>
  </si>
  <si>
    <t>[新生]【桜めぐり】八百比丘尼</t>
  </si>
  <si>
    <t>[新生]遺念火</t>
  </si>
  <si>
    <t>[新生]濡女子</t>
  </si>
  <si>
    <t>[新生]亡霊ヤッサ</t>
  </si>
  <si>
    <t>大阪</t>
  </si>
  <si>
    <t>[新生]籠池の狐</t>
  </si>
  <si>
    <t>奈良</t>
  </si>
  <si>
    <t>[新生]タギシミミノミコト</t>
  </si>
  <si>
    <t>[新生]雪女</t>
  </si>
  <si>
    <t>14,13,13,12</t>
  </si>
  <si>
    <t>16,15,15,13,13,13,13</t>
  </si>
  <si>
    <t>15,14,14,13,10</t>
  </si>
  <si>
    <t>公武の架け橋</t>
  </si>
  <si>
    <t>タイプ武人・伝承の攻25％UP</t>
  </si>
  <si>
    <t>タイプ武人・伝承の防25％UP</t>
  </si>
  <si>
    <t>タイプ【名物】の防20％UP</t>
  </si>
  <si>
    <t>タイプ【神秘】の攻25％UP</t>
  </si>
  <si>
    <t>英照皇太后</t>
  </si>
  <si>
    <t>[新生]光明皇后</t>
  </si>
  <si>
    <t>[新生]東福門院</t>
  </si>
  <si>
    <t>[新生]阿野廉子</t>
  </si>
  <si>
    <t>[新生]督姫</t>
  </si>
  <si>
    <t>[新生]幸姫</t>
  </si>
  <si>
    <t>兵庫</t>
  </si>
  <si>
    <t>[新生]明石たこちゃん</t>
  </si>
  <si>
    <t>岩手</t>
  </si>
  <si>
    <t>[新生]柳ばっとちゃん</t>
  </si>
  <si>
    <t>岐阜</t>
  </si>
  <si>
    <t>[新生]濃姫</t>
  </si>
  <si>
    <t>にらみ鯛</t>
    <phoneticPr fontId="1"/>
  </si>
  <si>
    <t>近畿</t>
    <rPh sb="0" eb="2">
      <t>キンキ</t>
    </rPh>
    <phoneticPr fontId="1"/>
  </si>
  <si>
    <t>熊本</t>
    <rPh sb="0" eb="2">
      <t>クマモト</t>
    </rPh>
    <phoneticPr fontId="1"/>
  </si>
  <si>
    <t>山形</t>
    <rPh sb="0" eb="2">
      <t>ヤマガタ</t>
    </rPh>
    <phoneticPr fontId="1"/>
  </si>
  <si>
    <t>関東</t>
    <rPh sb="0" eb="2">
      <t>カントウ</t>
    </rPh>
    <phoneticPr fontId="1"/>
  </si>
  <si>
    <t>伝承</t>
    <rPh sb="0" eb="2">
      <t>デンショウ</t>
    </rPh>
    <phoneticPr fontId="1"/>
  </si>
  <si>
    <t>姫</t>
    <rPh sb="0" eb="1">
      <t>ヒメ</t>
    </rPh>
    <phoneticPr fontId="1"/>
  </si>
  <si>
    <t>[新生]【巫女】シッケンケン</t>
    <phoneticPr fontId="1"/>
  </si>
  <si>
    <t>才の神焼き</t>
    <phoneticPr fontId="1"/>
  </si>
  <si>
    <t>鬼揚子</t>
    <phoneticPr fontId="1"/>
  </si>
  <si>
    <t>[新生]【幼少】カグヤ</t>
    <phoneticPr fontId="1"/>
  </si>
  <si>
    <t>[新生]イヌガシラノミタマノカミ</t>
    <phoneticPr fontId="1"/>
  </si>
  <si>
    <t>[新生]【成人式】油すまし</t>
    <phoneticPr fontId="1"/>
  </si>
  <si>
    <t>[新生]お船の方</t>
    <phoneticPr fontId="1"/>
  </si>
  <si>
    <t>[新生]【おとぎの国】ハリネズミ</t>
    <phoneticPr fontId="1"/>
  </si>
  <si>
    <t>３つ過ぎるまで、神に供えて</t>
    <phoneticPr fontId="1"/>
  </si>
  <si>
    <t>神楽鈴と縄</t>
    <phoneticPr fontId="1"/>
  </si>
  <si>
    <t>天まで伸びる灼熱の炎渦</t>
    <phoneticPr fontId="1"/>
  </si>
  <si>
    <t>空に祈る成長の兆し</t>
    <phoneticPr fontId="1"/>
  </si>
  <si>
    <t>なよ竹の少女</t>
    <phoneticPr fontId="1"/>
  </si>
  <si>
    <t>タイプ武人・姫の攻25％UP</t>
  </si>
  <si>
    <t>邪を祓う咢</t>
    <phoneticPr fontId="1"/>
  </si>
  <si>
    <t>祝いのおすまし成人式</t>
    <phoneticPr fontId="1"/>
  </si>
  <si>
    <t>手厚く深い馳走人</t>
    <phoneticPr fontId="1"/>
  </si>
  <si>
    <t>タイプ【武人】の防25％UP</t>
    <phoneticPr fontId="1"/>
  </si>
  <si>
    <t>お触り注意のイカサマボール</t>
    <phoneticPr fontId="1"/>
  </si>
  <si>
    <t>にらみたい</t>
    <phoneticPr fontId="1"/>
  </si>
  <si>
    <t>しんせいみこしっけんけん</t>
    <phoneticPr fontId="1"/>
  </si>
  <si>
    <t>さいのかみやき</t>
    <phoneticPr fontId="1"/>
  </si>
  <si>
    <t>おにようず</t>
    <phoneticPr fontId="1"/>
  </si>
  <si>
    <t>しんせいようしょうかぐや</t>
    <phoneticPr fontId="1"/>
  </si>
  <si>
    <t>しんせいいぬがしらのみたまのかみ</t>
    <phoneticPr fontId="1"/>
  </si>
  <si>
    <t>しんせいせいじんしきあぶらすまし</t>
    <phoneticPr fontId="1"/>
  </si>
  <si>
    <t>しんせいおせんのかた</t>
    <phoneticPr fontId="1"/>
  </si>
  <si>
    <t>しんせいおとぎのくにはりねずみ</t>
    <phoneticPr fontId="1"/>
  </si>
  <si>
    <t>東日本</t>
  </si>
  <si>
    <t>大分</t>
    <rPh sb="0" eb="2">
      <t>オオイタ</t>
    </rPh>
    <phoneticPr fontId="1"/>
  </si>
  <si>
    <t>鹿児島</t>
    <rPh sb="0" eb="3">
      <t>カゴシマ</t>
    </rPh>
    <phoneticPr fontId="1"/>
  </si>
  <si>
    <t>偉人</t>
    <rPh sb="0" eb="2">
      <t>イジン</t>
    </rPh>
    <phoneticPr fontId="1"/>
  </si>
  <si>
    <t>知性派</t>
    <rPh sb="0" eb="2">
      <t>チセイ</t>
    </rPh>
    <rPh sb="2" eb="3">
      <t>ハ</t>
    </rPh>
    <phoneticPr fontId="1"/>
  </si>
  <si>
    <t>【神童】二宮金次郎</t>
    <phoneticPr fontId="1"/>
  </si>
  <si>
    <t>[新生]野村望東尼</t>
    <phoneticPr fontId="1"/>
  </si>
  <si>
    <t>[新生]尚巴志王</t>
    <phoneticPr fontId="1"/>
  </si>
  <si>
    <t>[新生]福沢諭吉</t>
    <phoneticPr fontId="1"/>
  </si>
  <si>
    <t>[新生]【会津の銃姫】新島八重</t>
    <phoneticPr fontId="1"/>
  </si>
  <si>
    <t>[新生]【剣闘】山南敬助</t>
    <phoneticPr fontId="1"/>
  </si>
  <si>
    <t>[新生]注連丸行平</t>
    <phoneticPr fontId="1"/>
  </si>
  <si>
    <t>[新生]能除太子</t>
    <phoneticPr fontId="1"/>
  </si>
  <si>
    <t>[新生]東郷平八郎</t>
    <phoneticPr fontId="1"/>
  </si>
  <si>
    <t>タイプ偉人・妖怪・名物の攻45％UP</t>
  </si>
  <si>
    <t>タイプ偉人・妖怪・名物の攻45％UP</t>
    <phoneticPr fontId="1"/>
  </si>
  <si>
    <t>希望へ導く正しき智慧</t>
    <phoneticPr fontId="1"/>
  </si>
  <si>
    <t>勤王志士の母</t>
    <phoneticPr fontId="1"/>
  </si>
  <si>
    <t>琉球王国の始祖</t>
    <phoneticPr fontId="1"/>
  </si>
  <si>
    <t>幾万を超える偉業</t>
    <phoneticPr fontId="1"/>
  </si>
  <si>
    <t>砲撃の医療天使</t>
    <phoneticPr fontId="1"/>
  </si>
  <si>
    <t>タイプ妖怪・名物の防25％UP</t>
    <phoneticPr fontId="1"/>
  </si>
  <si>
    <t>文武両道の深切</t>
    <phoneticPr fontId="1"/>
  </si>
  <si>
    <t>タイプ【知性派】の防25％UP</t>
    <phoneticPr fontId="1"/>
  </si>
  <si>
    <t>峻厳なる鬼神大夫</t>
    <phoneticPr fontId="1"/>
  </si>
  <si>
    <t>心優しき烏太子</t>
    <phoneticPr fontId="1"/>
  </si>
  <si>
    <t>タイプ【妖怪】の防25％UP</t>
    <phoneticPr fontId="1"/>
  </si>
  <si>
    <t>沈黙の提督</t>
    <phoneticPr fontId="1"/>
  </si>
  <si>
    <t>しんどうにのみやきんじろう</t>
    <phoneticPr fontId="1"/>
  </si>
  <si>
    <t>しんせいのむらぼうとうに</t>
    <phoneticPr fontId="1"/>
  </si>
  <si>
    <t>しんせいしょうはしおう</t>
    <phoneticPr fontId="1"/>
  </si>
  <si>
    <t>しんせいふくざわゆきち</t>
    <phoneticPr fontId="1"/>
  </si>
  <si>
    <t>しんせいあいずのじゅうひめにいじまやえ</t>
    <phoneticPr fontId="1"/>
  </si>
  <si>
    <t>しんせいけんとうさんなんけいすけ</t>
    <phoneticPr fontId="1"/>
  </si>
  <si>
    <t>しんせいしめまるゆきひら</t>
    <phoneticPr fontId="1"/>
  </si>
  <si>
    <t>しんせいのうじょたいし</t>
    <phoneticPr fontId="1"/>
  </si>
  <si>
    <t>しんせいとうごうへいはちろう</t>
    <phoneticPr fontId="1"/>
  </si>
  <si>
    <t>タイプ武人・姫の攻100％DOWN　/　タイプ武人・伝承の防20％UP</t>
  </si>
  <si>
    <t>タイプ【偉人】の防45％UP　/　タイプ【妖怪】の防15％UP</t>
  </si>
  <si>
    <t>タイプ武人・姫の攻30％UP　/　タイプ【伝承】の攻20％UP</t>
  </si>
  <si>
    <t>タイプ【姫】の防55％UP　/　タイプ【伝承】の防15％UP</t>
  </si>
  <si>
    <t>タイプ【飲食】の防45％UP　/　タイプ【知性派】の防15％UP</t>
  </si>
  <si>
    <t>タイプ妖怪・名物の攻30％UP　/　タイプ【偉人】の攻20％UP</t>
  </si>
  <si>
    <t>タイプ【妖怪】の防55％UP　/　タイプ【偉人】の防15％UP</t>
  </si>
  <si>
    <t>タイプ【武人】の攻75％UP　/　タイプ姫・伝承の攻30％UP</t>
  </si>
  <si>
    <t>タイプ妖怪・名物の攻25％UP　/　タイプ【偉人】の攻10％UP</t>
  </si>
  <si>
    <t>タイプ武人・伝承の防30％UP　/　タイプ【姫】の防20％UP</t>
  </si>
  <si>
    <t>タイプ【武人】の攻55％UP　/　タイプ【姫】の攻15％UP</t>
  </si>
  <si>
    <t>タイプ武人・伝承の攻90％DOWN　/　タイプ偉人・妖怪・名物の防15％UP</t>
  </si>
  <si>
    <t>タイプ武人・姫の防25％UP　/　タイプ【伝承】の防10％UP</t>
  </si>
  <si>
    <t>タイプ偉人・名物の攻30％UP　/　タイプ【妖怪】の攻20％UP</t>
  </si>
  <si>
    <t>タイプ【名物】の攻55％UP　/　タイプ【妖怪】の攻15％UP</t>
  </si>
  <si>
    <t>タイプ【偉人】の防30％UP　/　タイプ【名物】の防20％UP</t>
  </si>
  <si>
    <t>タイプ神秘・知性派の防45％UP　/　タイプ【飲食】の防15％UP</t>
  </si>
  <si>
    <t>タイプ偉人・妖怪の攻25％UP　/　タイプ【名物】の攻10％UP</t>
  </si>
  <si>
    <t>タイプ神秘・知性派の攻30％UP　/　タイプ【飲食】の攻20％UP</t>
  </si>
  <si>
    <t>タイプ【神秘】の防55％UP　/　タイプ【飲食】の防15％UP</t>
  </si>
  <si>
    <t>タイプ【知性派】の攻30％UP　/　タイプ【神秘】の攻20％UP</t>
  </si>
  <si>
    <t>タイプ【伝承】の防30％UP　/　タイプ武人・姫の防15％UP</t>
  </si>
  <si>
    <t>タイプ知性派・飲食の防25％UP　/　タイプ【神秘】の防10％UP</t>
  </si>
  <si>
    <t>タイプ姫・伝承の攻30％UP　/　タイプ【武人】の攻20％UP</t>
  </si>
  <si>
    <t>タイプ【伝承】の防35％UP　/　タイプ武人・神秘の防25％UP</t>
  </si>
  <si>
    <t>タイプ伝承・武人・姫の防60％DOWN　/　タイプ偉人・妖怪・名物の攻20％UP</t>
  </si>
  <si>
    <t>タイプ偉人・名物の攻25％UP　/　タイプ【妖怪】の攻10％UP</t>
  </si>
  <si>
    <t>タイプ偉人・名物の防30％UP　/　タイプ【妖怪】の防20％UP</t>
  </si>
  <si>
    <t>タイプ【名物】の攻35％UP　/　タイプ妖怪・武人の攻25％UP</t>
  </si>
  <si>
    <t>英照の舞</t>
    <phoneticPr fontId="1"/>
  </si>
  <si>
    <t>民への瑞々しき明光</t>
    <phoneticPr fontId="1"/>
  </si>
  <si>
    <t>寵愛悪女の微笑み</t>
    <phoneticPr fontId="1"/>
  </si>
  <si>
    <t>姫路城から望む月</t>
    <phoneticPr fontId="1"/>
  </si>
  <si>
    <t>幼き身に受けし深愛</t>
    <phoneticPr fontId="1"/>
  </si>
  <si>
    <t>激流に住む明石たこ</t>
    <phoneticPr fontId="1"/>
  </si>
  <si>
    <t>蕎麦粉ご法度への抗命</t>
    <phoneticPr fontId="1"/>
  </si>
  <si>
    <t>妖艶帰蝶</t>
    <phoneticPr fontId="1"/>
  </si>
  <si>
    <t>えいしょうこうたいごう</t>
    <phoneticPr fontId="1"/>
  </si>
  <si>
    <t>しんせいこうみょうこうごう</t>
    <phoneticPr fontId="1"/>
  </si>
  <si>
    <t>しんせいとうふくもんいん</t>
    <phoneticPr fontId="1"/>
  </si>
  <si>
    <t>しんせいあのやすこ</t>
    <phoneticPr fontId="1"/>
  </si>
  <si>
    <t>しんせいとくひめ</t>
    <phoneticPr fontId="1"/>
  </si>
  <si>
    <t>しんせいよしひめ</t>
    <phoneticPr fontId="1"/>
  </si>
  <si>
    <t>しんせいあかしたこちゃん</t>
    <phoneticPr fontId="1"/>
  </si>
  <si>
    <t>しんせいやなぎばっとちゃん</t>
    <phoneticPr fontId="1"/>
  </si>
  <si>
    <t>しんせいのうひめ</t>
    <phoneticPr fontId="1"/>
  </si>
  <si>
    <t>図鑑無</t>
  </si>
  <si>
    <t>【新生】クシナダヒメ</t>
  </si>
  <si>
    <t>[新生]シャボン玉</t>
  </si>
  <si>
    <t>[新生]【バレンタイン】バケダヌキ</t>
  </si>
  <si>
    <t>16,[16],[15],[14]</t>
  </si>
  <si>
    <t>タイプ知性派・飲食の防25％UP</t>
  </si>
  <si>
    <t>タイプ妖怪・名物の防30％UP</t>
  </si>
  <si>
    <t>[16]</t>
  </si>
  <si>
    <t>16,16,15,15,[15],14,14,[14]</t>
  </si>
  <si>
    <t>図鑑1進MAX迄</t>
    <rPh sb="3" eb="4">
      <t>シン</t>
    </rPh>
    <rPh sb="7" eb="8">
      <t>マデ</t>
    </rPh>
    <phoneticPr fontId="1"/>
  </si>
  <si>
    <t>16,[16],15,[15],14,[14]</t>
    <phoneticPr fontId="1"/>
  </si>
  <si>
    <t>[16,15,14]</t>
    <phoneticPr fontId="1"/>
  </si>
  <si>
    <t>―</t>
  </si>
  <si>
    <t>【新生】夜行さん</t>
  </si>
  <si>
    <t>【新生】【忍犬】初芽局</t>
  </si>
  <si>
    <t>[新生]鶴丸国永</t>
  </si>
  <si>
    <t>16,[16],15,[15],15,14,14,[14]</t>
    <phoneticPr fontId="1"/>
  </si>
  <si>
    <t>16,16,[16],15,[15],14,[14],14+?</t>
    <phoneticPr fontId="1"/>
  </si>
  <si>
    <t>図鑑2進MAX迄 処16+15+(16+16),14,14,15,14+?</t>
    <rPh sb="3" eb="4">
      <t>シン</t>
    </rPh>
    <rPh sb="7" eb="8">
      <t>マデ</t>
    </rPh>
    <rPh sb="9" eb="10">
      <t>ショ</t>
    </rPh>
    <phoneticPr fontId="1"/>
  </si>
  <si>
    <t>図鑑2進MAX迄</t>
    <rPh sb="3" eb="4">
      <t>シン</t>
    </rPh>
    <rPh sb="7" eb="8">
      <t>マデ</t>
    </rPh>
    <phoneticPr fontId="1"/>
  </si>
  <si>
    <t>16,[16],15,14,14+?</t>
    <phoneticPr fontId="1"/>
  </si>
  <si>
    <t>16,15,[15],14,[14]</t>
    <phoneticPr fontId="1"/>
  </si>
  <si>
    <t>[16],[15],[14],14+?</t>
    <phoneticPr fontId="1"/>
  </si>
  <si>
    <t>近畿</t>
    <rPh sb="0" eb="2">
      <t>キンキ</t>
    </rPh>
    <phoneticPr fontId="3"/>
  </si>
  <si>
    <t>イシコリドメ</t>
  </si>
  <si>
    <t>タイプ知性派・飲食の防30％UP　/　タイプ【神秘】の防20％UP</t>
  </si>
  <si>
    <t>万事を映す神鏡を抱えて</t>
  </si>
  <si>
    <t>北海道・東北</t>
    <rPh sb="0" eb="3">
      <t>ホッカイドウ</t>
    </rPh>
    <rPh sb="4" eb="6">
      <t>トウホク</t>
    </rPh>
    <phoneticPr fontId="3"/>
  </si>
  <si>
    <t>ホッキョクグマ</t>
  </si>
  <si>
    <t>氷と共に生きる白獣</t>
  </si>
  <si>
    <t>タイプ偉人・妖怪の攻30％UP　/　タイプ【名物】の攻20％UP</t>
  </si>
  <si>
    <t>印籠弁当ちゃん</t>
  </si>
  <si>
    <t>この重箱が目に入らぬかっ！</t>
  </si>
  <si>
    <t>タイプ神秘・知性派の防30％UP　/　タイプ【飲食】の防20％UP</t>
  </si>
  <si>
    <t>【ねこみみ】日野富子</t>
  </si>
  <si>
    <t>気丈なツンデレっ子</t>
  </si>
  <si>
    <t>立山</t>
  </si>
  <si>
    <t>古代より眠りし氷河</t>
    <phoneticPr fontId="1"/>
  </si>
  <si>
    <t>水破兵破</t>
  </si>
  <si>
    <t>黒雲に鳴く二筋の鏑矢</t>
  </si>
  <si>
    <t>タイプ武人・姫の攻35％UP　/　タイプ【伝承】の攻10％UP</t>
  </si>
  <si>
    <t>橋本忠太郎</t>
  </si>
  <si>
    <t>故郷の草花への想い</t>
  </si>
  <si>
    <t>タイプ神秘・飲食の防35％UP　/　タイプ【知性派】の防10％UP</t>
  </si>
  <si>
    <t>【創始者】井口阿くり</t>
  </si>
  <si>
    <t>北欧より来たりし心身教育</t>
  </si>
  <si>
    <t>タイプ妖怪・名物の防35％UP　/　タイプ【偉人】の防10％UP</t>
  </si>
  <si>
    <t>平宗盛</t>
    <rPh sb="0" eb="1">
      <t>タイラ</t>
    </rPh>
    <rPh sb="1" eb="3">
      <t>ムネモリ</t>
    </rPh>
    <phoneticPr fontId="1"/>
  </si>
  <si>
    <t>情愛深き敗軍の将</t>
  </si>
  <si>
    <t>タイプ姫・伝承の防35％UP　/　タイプ【武人】の防10％UP</t>
  </si>
  <si>
    <t>東日本</t>
    <rPh sb="0" eb="1">
      <t>ヒガシ</t>
    </rPh>
    <rPh sb="1" eb="3">
      <t>ニホン</t>
    </rPh>
    <phoneticPr fontId="3"/>
  </si>
  <si>
    <t>武人</t>
    <rPh sb="0" eb="2">
      <t>ブジン</t>
    </rPh>
    <phoneticPr fontId="3"/>
  </si>
  <si>
    <t>【壇ノ浦】源義経</t>
    <rPh sb="1" eb="2">
      <t>ダン</t>
    </rPh>
    <rPh sb="3" eb="4">
      <t>ウラ</t>
    </rPh>
    <rPh sb="5" eb="8">
      <t>ミナモトノヨシツネ</t>
    </rPh>
    <phoneticPr fontId="3"/>
  </si>
  <si>
    <t>だんのうらみなもとのよしつね</t>
    <phoneticPr fontId="1"/>
  </si>
  <si>
    <t>壇ノ浦八艘飛び</t>
  </si>
  <si>
    <t>タイプ姫・伝承の攻25％UP　/　タイプ【武人】の攻10％UP</t>
  </si>
  <si>
    <t>偉人</t>
    <rPh sb="0" eb="2">
      <t>イジン</t>
    </rPh>
    <phoneticPr fontId="3"/>
  </si>
  <si>
    <t>新島襄</t>
  </si>
  <si>
    <t>にいじまじょう</t>
    <phoneticPr fontId="1"/>
  </si>
  <si>
    <t>我が校の門をくぐりたるもの</t>
  </si>
  <si>
    <t>三好学</t>
  </si>
  <si>
    <t>近代日本植物学の礎</t>
  </si>
  <si>
    <t>タイプ神秘・知性派・飲食の攻40％UP　/　タイプ偉人・妖怪・名物の防10％DOWN</t>
  </si>
  <si>
    <t>三公闘戦之剣</t>
  </si>
  <si>
    <t>太古より蘇りし皇位のレガリア</t>
  </si>
  <si>
    <t>タイプ伝承・武人・姫の防15％UP　/　タイプ偉人・妖怪・伝承・名物の攻25％DOWN</t>
  </si>
  <si>
    <t>大山</t>
  </si>
  <si>
    <t>秀峰美麗な伯耆富士</t>
  </si>
  <si>
    <t>タイプ伝承・武人・姫の防80％DOWN　/　タイプ知性派・飲食の攻25％UP</t>
  </si>
  <si>
    <t>【ねこみみ】ねね</t>
  </si>
  <si>
    <t>奔放に振る舞う母性本能</t>
  </si>
  <si>
    <t>かにめし弁当ちゃん</t>
  </si>
  <si>
    <t>北海の幸を詰めた逸品</t>
  </si>
  <si>
    <t>タイプ神秘・知性派の攻40％UP　/　タイプ【飲食】の攻25％UP</t>
  </si>
  <si>
    <t>サーバルキャット</t>
  </si>
  <si>
    <t>乾いた大地を駆け回る脚</t>
  </si>
  <si>
    <t>タイプ偉人・妖怪・名物の防10％UP　/　タイプ偉人・神秘・知性派・飲食の攻35％DOWN</t>
  </si>
  <si>
    <t>【鍬神】アヂスキタカヒコネ</t>
  </si>
  <si>
    <t>民衆の信を集めし水雷の神</t>
  </si>
  <si>
    <t>タイプ神秘・知性派・飲食の防80％DOWN　/　タイプ知性派・飲食の攻25％UP</t>
  </si>
  <si>
    <t>スキル効果</t>
    <rPh sb="3" eb="5">
      <t>コウカ</t>
    </rPh>
    <phoneticPr fontId="1"/>
  </si>
  <si>
    <t>[新生]由良妙印尼</t>
    <phoneticPr fontId="1"/>
  </si>
  <si>
    <t>姫</t>
    <phoneticPr fontId="1"/>
  </si>
  <si>
    <t>関東</t>
    <phoneticPr fontId="1"/>
  </si>
  <si>
    <t>まこと天晴な滅亡返し</t>
    <phoneticPr fontId="1"/>
  </si>
  <si>
    <t>アメノフトダマノミコト</t>
    <phoneticPr fontId="1"/>
  </si>
  <si>
    <t>天命のままに占いし神</t>
    <phoneticPr fontId="1"/>
  </si>
  <si>
    <t>[新生]【豊穣】キクリヒメ</t>
    <phoneticPr fontId="1"/>
  </si>
  <si>
    <t>中部</t>
    <phoneticPr fontId="1"/>
  </si>
  <si>
    <t>神秘</t>
    <phoneticPr fontId="1"/>
  </si>
  <si>
    <t>白山の雪どけ水</t>
    <phoneticPr fontId="1"/>
  </si>
  <si>
    <t>タイプ知性派・飲食の攻25％UP</t>
    <phoneticPr fontId="1"/>
  </si>
  <si>
    <t>[新生]天降女子</t>
    <phoneticPr fontId="1"/>
  </si>
  <si>
    <t>鹿児島</t>
    <phoneticPr fontId="1"/>
  </si>
  <si>
    <t>妖艶杓子の魂狩</t>
    <phoneticPr fontId="1"/>
  </si>
  <si>
    <t>[新生]堀越二郎</t>
    <phoneticPr fontId="1"/>
  </si>
  <si>
    <t>偉人</t>
    <phoneticPr fontId="1"/>
  </si>
  <si>
    <t>群馬</t>
    <phoneticPr fontId="1"/>
  </si>
  <si>
    <t>嗚呼言わしめる堀越の零</t>
    <phoneticPr fontId="1"/>
  </si>
  <si>
    <t>タイプ【妖怪】の防25％UP</t>
    <phoneticPr fontId="1"/>
  </si>
  <si>
    <t>[新生]明暹</t>
    <phoneticPr fontId="1"/>
  </si>
  <si>
    <t>奈良</t>
    <phoneticPr fontId="1"/>
  </si>
  <si>
    <t>知性派</t>
    <phoneticPr fontId="1"/>
  </si>
  <si>
    <t>三会の笛音</t>
    <phoneticPr fontId="1"/>
  </si>
  <si>
    <t>タイプ【飲食】の攻25％UP</t>
    <phoneticPr fontId="1"/>
  </si>
  <si>
    <t>[新生]【水着X’mas】天鼠</t>
    <phoneticPr fontId="1"/>
  </si>
  <si>
    <t>岡山</t>
    <phoneticPr fontId="1"/>
  </si>
  <si>
    <t>聖夜の訪れを告げる鼠</t>
    <phoneticPr fontId="1"/>
  </si>
  <si>
    <t>タイプ【神秘】の防20％UP</t>
    <phoneticPr fontId="1"/>
  </si>
  <si>
    <t>タイプ【伝承】の攻45％UP　/　タイプ【姫】の攻15％UP</t>
  </si>
  <si>
    <t>タイプ【知性派】の攻55％UP　/　タイプ【神秘】の攻15％UP</t>
  </si>
  <si>
    <t>タイプ【知性派】の防35％UP　/　タイプ【神秘】の防15％UP</t>
  </si>
  <si>
    <t>【姫甲冑】愛姫</t>
    <phoneticPr fontId="1"/>
  </si>
  <si>
    <t>東日本</t>
    <phoneticPr fontId="1"/>
  </si>
  <si>
    <t>姫</t>
    <phoneticPr fontId="1"/>
  </si>
  <si>
    <t>護るべき御人のためあらば</t>
    <phoneticPr fontId="1"/>
  </si>
  <si>
    <t>[新生]【新陰流】柳生十兵衛</t>
    <phoneticPr fontId="1"/>
  </si>
  <si>
    <t>近畿</t>
    <phoneticPr fontId="1"/>
  </si>
  <si>
    <t>武人</t>
    <phoneticPr fontId="1"/>
  </si>
  <si>
    <t>新陰流隻眼抜刀術・弐</t>
    <phoneticPr fontId="1"/>
  </si>
  <si>
    <t>タイプ姫・武人・神秘・飲食の防30％UP</t>
    <phoneticPr fontId="1"/>
  </si>
  <si>
    <t>【姫甲冑】竹林院</t>
    <phoneticPr fontId="1"/>
  </si>
  <si>
    <t>中部</t>
    <phoneticPr fontId="1"/>
  </si>
  <si>
    <t>縦横巡らす結びの封印</t>
    <phoneticPr fontId="1"/>
  </si>
  <si>
    <t>【姫甲冑】唐梅院</t>
    <phoneticPr fontId="1"/>
  </si>
  <si>
    <t>関東</t>
    <phoneticPr fontId="1"/>
  </si>
  <si>
    <t>戦場に咲きし一輪の花</t>
    <phoneticPr fontId="1"/>
  </si>
  <si>
    <t>有馬奈津姫</t>
    <phoneticPr fontId="1"/>
  </si>
  <si>
    <t>九州・沖縄</t>
    <phoneticPr fontId="1"/>
  </si>
  <si>
    <t>宗家の最期を見届けん</t>
    <phoneticPr fontId="1"/>
  </si>
  <si>
    <t>タイプ武人・伝承の防25％UP</t>
    <phoneticPr fontId="1"/>
  </si>
  <si>
    <t>片倉喜多</t>
    <phoneticPr fontId="1"/>
  </si>
  <si>
    <t>北海道・東北</t>
    <phoneticPr fontId="1"/>
  </si>
  <si>
    <t>伊達家を支えた女丈夫</t>
    <phoneticPr fontId="1"/>
  </si>
  <si>
    <t>三重</t>
    <rPh sb="0" eb="2">
      <t>ミエ</t>
    </rPh>
    <phoneticPr fontId="1"/>
  </si>
  <si>
    <t>群馬</t>
    <rPh sb="0" eb="2">
      <t>グンマ</t>
    </rPh>
    <phoneticPr fontId="1"/>
  </si>
  <si>
    <t>猫御前</t>
    <phoneticPr fontId="1"/>
  </si>
  <si>
    <t>猫撫で声の恋女房</t>
    <phoneticPr fontId="1"/>
  </si>
  <si>
    <t>タイプ【伝承】の攻25％UP</t>
    <phoneticPr fontId="1"/>
  </si>
  <si>
    <t>[新生]伊勢海老ちゃん</t>
    <phoneticPr fontId="1"/>
  </si>
  <si>
    <t>魅惑のぷりぷり食感</t>
    <phoneticPr fontId="1"/>
  </si>
  <si>
    <t>タイプ【偉人】の防25％UP</t>
    <phoneticPr fontId="1"/>
  </si>
  <si>
    <t>[新生]舌きりスズメ</t>
    <phoneticPr fontId="1"/>
  </si>
  <si>
    <t>つづらをどうぞ</t>
    <phoneticPr fontId="1"/>
  </si>
  <si>
    <t>ひめかっちゅうめごひめ</t>
    <phoneticPr fontId="1"/>
  </si>
  <si>
    <t>しんせいしんかげりゅうやぎゅうじゅうべえ</t>
    <phoneticPr fontId="1"/>
  </si>
  <si>
    <t>ひめかっちゅうちくりんいん</t>
    <phoneticPr fontId="1"/>
  </si>
  <si>
    <t>ひめかっちゅうとうばいいん</t>
    <phoneticPr fontId="1"/>
  </si>
  <si>
    <t>ありまなつひめ</t>
    <phoneticPr fontId="1"/>
  </si>
  <si>
    <t>かたくらきた</t>
    <phoneticPr fontId="1"/>
  </si>
  <si>
    <t>ねこごぜん</t>
    <phoneticPr fontId="1"/>
  </si>
  <si>
    <t>しんせいいせえびちゃん</t>
    <phoneticPr fontId="1"/>
  </si>
  <si>
    <t>しんせいしたきりすずめ</t>
    <phoneticPr fontId="1"/>
  </si>
  <si>
    <t>銀の鈴</t>
    <phoneticPr fontId="1"/>
  </si>
  <si>
    <t>東日本</t>
    <phoneticPr fontId="1"/>
  </si>
  <si>
    <t>名物</t>
    <phoneticPr fontId="1"/>
  </si>
  <si>
    <t>雑踏に響く白銀の麗音</t>
    <phoneticPr fontId="1"/>
  </si>
  <si>
    <t>[新生]【バレンタイン】バケダヌキ</t>
    <phoneticPr fontId="1"/>
  </si>
  <si>
    <t>中国・四国</t>
    <phoneticPr fontId="1"/>
  </si>
  <si>
    <t>妖怪</t>
    <phoneticPr fontId="1"/>
  </si>
  <si>
    <t>真心籠めた偽チョコレート</t>
    <phoneticPr fontId="1"/>
  </si>
  <si>
    <t>タイプ妖怪・名物の防30％UP</t>
    <phoneticPr fontId="1"/>
  </si>
  <si>
    <t>桃太郎像</t>
    <phoneticPr fontId="1"/>
  </si>
  <si>
    <t>鬼を見据えし桃の花</t>
    <phoneticPr fontId="1"/>
  </si>
  <si>
    <t>仙台ステンドグラス</t>
    <phoneticPr fontId="1"/>
  </si>
  <si>
    <t>北海道・東北</t>
    <phoneticPr fontId="1"/>
  </si>
  <si>
    <t>ほら、はやぐあばい！</t>
    <phoneticPr fontId="1"/>
  </si>
  <si>
    <t>いけふくろう</t>
    <phoneticPr fontId="1"/>
  </si>
  <si>
    <t>関東</t>
    <phoneticPr fontId="1"/>
  </si>
  <si>
    <t>待ち人に福来る</t>
    <phoneticPr fontId="1"/>
  </si>
  <si>
    <t>タイプ偉人・妖怪の攻25％UP</t>
    <phoneticPr fontId="1"/>
  </si>
  <si>
    <t>モアイちゃん</t>
    <phoneticPr fontId="1"/>
  </si>
  <si>
    <t>九州・沖縄</t>
    <phoneticPr fontId="1"/>
  </si>
  <si>
    <t>未来に生きる像</t>
    <phoneticPr fontId="1"/>
  </si>
  <si>
    <t>タイプ偉人・妖怪の防25％UP</t>
    <phoneticPr fontId="1"/>
  </si>
  <si>
    <t>[新生]由布島</t>
    <phoneticPr fontId="1"/>
  </si>
  <si>
    <t>沖縄</t>
    <phoneticPr fontId="1"/>
  </si>
  <si>
    <t>島を渡る水牛車</t>
    <phoneticPr fontId="1"/>
  </si>
  <si>
    <t>タイプ【偉人】の防25％UP</t>
    <phoneticPr fontId="1"/>
  </si>
  <si>
    <t>[新生]網切</t>
    <phoneticPr fontId="1"/>
  </si>
  <si>
    <t>山形</t>
    <phoneticPr fontId="1"/>
  </si>
  <si>
    <t>斬網大鋏の影</t>
    <phoneticPr fontId="1"/>
  </si>
  <si>
    <t>タイプ【名物】の防25％UP</t>
    <phoneticPr fontId="1"/>
  </si>
  <si>
    <t>[新生]【バレンタイン】衣通姫</t>
    <phoneticPr fontId="1"/>
  </si>
  <si>
    <t>和歌山</t>
    <phoneticPr fontId="1"/>
  </si>
  <si>
    <t>伝承</t>
    <phoneticPr fontId="1"/>
  </si>
  <si>
    <t>月夜が照らす一途な想い</t>
    <phoneticPr fontId="1"/>
  </si>
  <si>
    <t>タイプ【武人】の攻25％UP</t>
    <phoneticPr fontId="1"/>
  </si>
  <si>
    <t>クローバーハニーちゃん</t>
    <phoneticPr fontId="1"/>
  </si>
  <si>
    <t>飲食</t>
    <phoneticPr fontId="1"/>
  </si>
  <si>
    <t>広い大地からの幸福</t>
    <phoneticPr fontId="1"/>
  </si>
  <si>
    <t>タイプ神秘・知性派・飲食の攻35％UP</t>
    <phoneticPr fontId="1"/>
  </si>
  <si>
    <t>[新生]【学問の神様】菅原道真</t>
    <phoneticPr fontId="1"/>
  </si>
  <si>
    <t>知性派</t>
    <phoneticPr fontId="1"/>
  </si>
  <si>
    <t>匂いおこせよ梅の花</t>
    <phoneticPr fontId="1"/>
  </si>
  <si>
    <t>タイプ神秘・飲食の攻30％UP</t>
    <phoneticPr fontId="1"/>
  </si>
  <si>
    <t>れもんハニーちゃん</t>
    <phoneticPr fontId="1"/>
  </si>
  <si>
    <t>吹き抜ける清涼な檸檬風</t>
    <phoneticPr fontId="1"/>
  </si>
  <si>
    <t>レンゲハニーちゃん</t>
    <phoneticPr fontId="1"/>
  </si>
  <si>
    <t>中部</t>
    <phoneticPr fontId="1"/>
  </si>
  <si>
    <t>花から花へ届ける甘い蜜</t>
  </si>
  <si>
    <t>ミルクセーキちゃん</t>
    <phoneticPr fontId="1"/>
  </si>
  <si>
    <t>栄養満点濃厚飲料</t>
    <phoneticPr fontId="1"/>
  </si>
  <si>
    <t>タイプ神秘・知性派・飲食の攻15％UP</t>
    <phoneticPr fontId="1"/>
  </si>
  <si>
    <t>[新生]マカロン</t>
    <phoneticPr fontId="1"/>
  </si>
  <si>
    <t>さくふわ食感の優しい甘さ</t>
    <phoneticPr fontId="1"/>
  </si>
  <si>
    <t>タイプ神秘・知性派の攻25％UP</t>
    <phoneticPr fontId="1"/>
  </si>
  <si>
    <t>[新生]ラベンダーティーちゃん</t>
    <phoneticPr fontId="1"/>
  </si>
  <si>
    <t>北海道</t>
    <phoneticPr fontId="1"/>
  </si>
  <si>
    <t>薄紫色の馥郁</t>
    <phoneticPr fontId="1"/>
  </si>
  <si>
    <t>タイプ【神秘】の防25％UP</t>
    <phoneticPr fontId="1"/>
  </si>
  <si>
    <t>[新生]【シロツメクサ】宜秋門院丹後</t>
    <phoneticPr fontId="1"/>
  </si>
  <si>
    <t>偉人</t>
    <rPh sb="0" eb="2">
      <t>イジン</t>
    </rPh>
    <phoneticPr fontId="1"/>
  </si>
  <si>
    <t>姫</t>
    <rPh sb="0" eb="1">
      <t>ヒメ</t>
    </rPh>
    <phoneticPr fontId="1"/>
  </si>
  <si>
    <t>滋賀</t>
    <rPh sb="0" eb="2">
      <t>シガ</t>
    </rPh>
    <phoneticPr fontId="1"/>
  </si>
  <si>
    <t>山形</t>
    <rPh sb="0" eb="2">
      <t>ヤマガタ</t>
    </rPh>
    <phoneticPr fontId="1"/>
  </si>
  <si>
    <t>白詰草と過ごす平穏な日</t>
    <phoneticPr fontId="1"/>
  </si>
  <si>
    <t>タイプ【妖怪】の防25％UP</t>
    <phoneticPr fontId="1"/>
  </si>
  <si>
    <t>愛し哀しの姫君</t>
    <phoneticPr fontId="1"/>
  </si>
  <si>
    <t>タイプ【伝承】の攻25％UP</t>
    <phoneticPr fontId="1"/>
  </si>
  <si>
    <t>[新生]【おてんば】駒姫</t>
    <phoneticPr fontId="1"/>
  </si>
  <si>
    <t>佐藤継信</t>
    <phoneticPr fontId="1"/>
  </si>
  <si>
    <t>武人</t>
    <phoneticPr fontId="1"/>
  </si>
  <si>
    <t>義経四天王・継信</t>
    <phoneticPr fontId="1"/>
  </si>
  <si>
    <t>[新生]イワエトゥンナイ</t>
    <phoneticPr fontId="1"/>
  </si>
  <si>
    <t>アイヌの一つ目コンコルド</t>
    <phoneticPr fontId="1"/>
  </si>
  <si>
    <t>タイプ偉人・名物の攻30％UP</t>
    <phoneticPr fontId="1"/>
  </si>
  <si>
    <t>[新生]平教経</t>
    <phoneticPr fontId="1"/>
  </si>
  <si>
    <t>凛然たる平家の誇り</t>
    <phoneticPr fontId="1"/>
  </si>
  <si>
    <t>タイプ姫・伝承の防25％UP</t>
    <phoneticPr fontId="1"/>
  </si>
  <si>
    <t>[新生]奥平貞治</t>
    <phoneticPr fontId="1"/>
  </si>
  <si>
    <t>虚をつく松尾山の軍兵</t>
    <phoneticPr fontId="1"/>
  </si>
  <si>
    <t>タイプ伝承・武人・姫の攻15％UP</t>
    <phoneticPr fontId="1"/>
  </si>
  <si>
    <t>[新生]さくら灯篭</t>
    <phoneticPr fontId="1"/>
  </si>
  <si>
    <t>佐賀</t>
    <phoneticPr fontId="1"/>
  </si>
  <si>
    <t>積み重ねられし大桜</t>
    <phoneticPr fontId="1"/>
  </si>
  <si>
    <t>タイプ【妖怪】の攻25％UP</t>
    <phoneticPr fontId="1"/>
  </si>
  <si>
    <t>競い合いし木桶群</t>
    <phoneticPr fontId="1"/>
  </si>
  <si>
    <t>秋田</t>
    <phoneticPr fontId="1"/>
  </si>
  <si>
    <t>[新生]桜まつりたらいこぎ競争</t>
    <phoneticPr fontId="1"/>
  </si>
  <si>
    <t>[新生]大庭景親</t>
    <phoneticPr fontId="1"/>
  </si>
  <si>
    <t>神奈川</t>
    <phoneticPr fontId="1"/>
  </si>
  <si>
    <t>明暗を分けた恩義</t>
    <phoneticPr fontId="1"/>
  </si>
  <si>
    <t>タイプ【姫】の防25％UP</t>
    <phoneticPr fontId="1"/>
  </si>
  <si>
    <t>[新生]鬼子母神</t>
    <phoneticPr fontId="1"/>
  </si>
  <si>
    <t>関東</t>
    <phoneticPr fontId="1"/>
  </si>
  <si>
    <t>伝承</t>
    <phoneticPr fontId="1"/>
  </si>
  <si>
    <t>安産子育の鬼神</t>
    <phoneticPr fontId="1"/>
  </si>
  <si>
    <t>タイプ武人・姫の攻30％UP</t>
    <phoneticPr fontId="1"/>
  </si>
  <si>
    <t>梅村清光</t>
    <phoneticPr fontId="1"/>
  </si>
  <si>
    <t>中部</t>
    <phoneticPr fontId="1"/>
  </si>
  <si>
    <t>偉人</t>
    <phoneticPr fontId="1"/>
  </si>
  <si>
    <t>文も武も手を抜くことなかれ</t>
    <phoneticPr fontId="1"/>
  </si>
  <si>
    <t>[新生]【先駆者】只野真葛</t>
    <phoneticPr fontId="1"/>
  </si>
  <si>
    <t>北海道・東北</t>
    <phoneticPr fontId="1"/>
  </si>
  <si>
    <t>女性文学界の独考</t>
    <phoneticPr fontId="1"/>
  </si>
  <si>
    <t>タイプ妖怪・名物の攻25％UP</t>
    <phoneticPr fontId="1"/>
  </si>
  <si>
    <t>[新生]【先駆者】楠本イネ</t>
    <phoneticPr fontId="1"/>
  </si>
  <si>
    <t>九州・沖縄</t>
    <phoneticPr fontId="1"/>
  </si>
  <si>
    <t>戸惑う視線と人体論</t>
    <phoneticPr fontId="1"/>
  </si>
  <si>
    <t>タイプ妖怪・名物の防25％UP</t>
    <phoneticPr fontId="1"/>
  </si>
  <si>
    <t>[新生]伽蘿先代萩</t>
    <phoneticPr fontId="1"/>
  </si>
  <si>
    <t>宮城</t>
    <phoneticPr fontId="1"/>
  </si>
  <si>
    <t>強き母と忠誠の幼子</t>
    <phoneticPr fontId="1"/>
  </si>
  <si>
    <t>タイプ【武人】の攻25％UP</t>
    <phoneticPr fontId="1"/>
  </si>
  <si>
    <t>[新生]【極姫】亀寿姫</t>
    <phoneticPr fontId="1"/>
  </si>
  <si>
    <t>鹿児島</t>
    <phoneticPr fontId="1"/>
  </si>
  <si>
    <t>姫</t>
    <phoneticPr fontId="1"/>
  </si>
  <si>
    <t>亀寿の隠し武器</t>
    <phoneticPr fontId="1"/>
  </si>
  <si>
    <t>タイプ【伝承】の防25％UP</t>
    <phoneticPr fontId="1"/>
  </si>
  <si>
    <t>[新生]伊藤博文</t>
    <phoneticPr fontId="1"/>
  </si>
  <si>
    <t>山口</t>
    <phoneticPr fontId="1"/>
  </si>
  <si>
    <t>剛凌強直</t>
    <phoneticPr fontId="1"/>
  </si>
  <si>
    <t>タイプ【妖怪】の防25％UP</t>
    <phoneticPr fontId="1"/>
  </si>
  <si>
    <t>タイプ飲食・武人の攻55％UP　/　タイプ姫・伝承の攻30％UP</t>
  </si>
  <si>
    <t>タイプ【伝承】の攻50％UP　/　タイプ【姫】の攻25％UP</t>
  </si>
  <si>
    <t>タイプ【妖怪】の防55％UP　/　タイプ偉人・名物の防30％UP</t>
  </si>
  <si>
    <t>タイプ【妖怪】の攻50％UP　/　タイプ【名物】の攻25％UP</t>
  </si>
  <si>
    <t>タイプ【神秘】の防50％UP　/　タイプ【飲食】の防25％UP</t>
  </si>
  <si>
    <t>タイプ【姫】の攻55％UP　/　タイプ【武人】の攻15％UP</t>
  </si>
  <si>
    <t>タイプ【名物】の攻55％UP　/　タイプ【偉人】の攻15％UP</t>
  </si>
  <si>
    <t>[新生]南部鶴姫</t>
    <phoneticPr fontId="1"/>
  </si>
  <si>
    <t>めでたき鶴の御輿入れ</t>
    <phoneticPr fontId="1"/>
  </si>
  <si>
    <t>郡場寛</t>
    <phoneticPr fontId="1"/>
  </si>
  <si>
    <t>知性派</t>
    <phoneticPr fontId="1"/>
  </si>
  <si>
    <t>寛大なる植物生理学の意志</t>
    <phoneticPr fontId="1"/>
  </si>
  <si>
    <t>[新生]伴信友</t>
    <phoneticPr fontId="1"/>
  </si>
  <si>
    <t>古事記解明の後継者</t>
    <phoneticPr fontId="1"/>
  </si>
  <si>
    <t>[新生]矢嶋楫子</t>
    <phoneticPr fontId="1"/>
  </si>
  <si>
    <t>地久節と日本の魂</t>
    <phoneticPr fontId="1"/>
  </si>
  <si>
    <t>[新生]かぎやで風</t>
    <phoneticPr fontId="1"/>
  </si>
  <si>
    <t>沖縄</t>
    <phoneticPr fontId="1"/>
  </si>
  <si>
    <t>名物</t>
    <phoneticPr fontId="1"/>
  </si>
  <si>
    <t>継承と祝宴の舞踏</t>
    <phoneticPr fontId="1"/>
  </si>
  <si>
    <t>タイプ【偉人】の防25％UP</t>
    <phoneticPr fontId="1"/>
  </si>
  <si>
    <t>[新生]【繚乱】鬼熊</t>
    <phoneticPr fontId="1"/>
  </si>
  <si>
    <t>長野</t>
    <phoneticPr fontId="1"/>
  </si>
  <si>
    <t>妖怪</t>
    <phoneticPr fontId="1"/>
  </si>
  <si>
    <t>１０人力の片腕</t>
    <phoneticPr fontId="1"/>
  </si>
  <si>
    <t>タイプ【妖怪】の攻20％UP</t>
    <phoneticPr fontId="1"/>
  </si>
  <si>
    <t>[新生]【桜詩】木下勝俊</t>
    <phoneticPr fontId="1"/>
  </si>
  <si>
    <t>岡山</t>
    <phoneticPr fontId="1"/>
  </si>
  <si>
    <t>色彩に富む山桜</t>
    <phoneticPr fontId="1"/>
  </si>
  <si>
    <t>タイプ【飲食】の攻20％UP</t>
    <phoneticPr fontId="1"/>
  </si>
  <si>
    <t>タイプ知性派・飲食の攻30％UP</t>
    <phoneticPr fontId="1"/>
  </si>
  <si>
    <t>洗練された三条の一刀</t>
    <phoneticPr fontId="1"/>
  </si>
  <si>
    <t>[新生]鶴丸国永</t>
    <phoneticPr fontId="1"/>
  </si>
  <si>
    <t>神秘</t>
    <phoneticPr fontId="1"/>
  </si>
  <si>
    <t>鬼切安綱</t>
    <phoneticPr fontId="1"/>
  </si>
  <si>
    <t>中国・四国</t>
    <phoneticPr fontId="1"/>
  </si>
  <si>
    <t>悪しき鬼を断つ太刀</t>
    <phoneticPr fontId="1"/>
  </si>
  <si>
    <t>タイプ武人・姫の防35％UP</t>
    <phoneticPr fontId="1"/>
  </si>
  <si>
    <t>[新生]【カンフー】楼門五三桐</t>
    <phoneticPr fontId="1"/>
  </si>
  <si>
    <t>近畿</t>
    <phoneticPr fontId="1"/>
  </si>
  <si>
    <t>復讐の酩酊状態</t>
    <phoneticPr fontId="1"/>
  </si>
  <si>
    <t>タイプ武人・姫の防25％UP</t>
    <phoneticPr fontId="1"/>
  </si>
  <si>
    <t>[新生]牛御前</t>
    <phoneticPr fontId="1"/>
  </si>
  <si>
    <t>悲劇の牛面姫</t>
    <phoneticPr fontId="1"/>
  </si>
  <si>
    <t>タイプ武人・姫の攻25％UP</t>
    <phoneticPr fontId="1"/>
  </si>
  <si>
    <t>[新生]青メノウ</t>
    <phoneticPr fontId="1"/>
  </si>
  <si>
    <t>島根</t>
    <phoneticPr fontId="1"/>
  </si>
  <si>
    <t>栃木</t>
    <phoneticPr fontId="1"/>
  </si>
  <si>
    <t>北海道</t>
    <phoneticPr fontId="1"/>
  </si>
  <si>
    <t>[新生]祢々切丸</t>
    <phoneticPr fontId="1"/>
  </si>
  <si>
    <t>[新生]トンコリ</t>
    <phoneticPr fontId="1"/>
  </si>
  <si>
    <t>神秘を孕んだ碧玉</t>
    <phoneticPr fontId="1"/>
  </si>
  <si>
    <t>タイプ【偉人】の攻25％UP</t>
    <phoneticPr fontId="1"/>
  </si>
  <si>
    <t>祢々が沢の重刀</t>
    <phoneticPr fontId="1"/>
  </si>
  <si>
    <t>タイプ【知性派】の防25％UP</t>
    <phoneticPr fontId="1"/>
  </si>
  <si>
    <t>ラマトゥフの宿り音</t>
    <phoneticPr fontId="1"/>
  </si>
  <si>
    <t>タイプ【姫】の攻20％UP</t>
    <phoneticPr fontId="1"/>
  </si>
  <si>
    <t>[新生]軽井沢高原</t>
    <phoneticPr fontId="1"/>
  </si>
  <si>
    <t>咲き誇る高原の大地</t>
    <phoneticPr fontId="1"/>
  </si>
  <si>
    <t>タイプ偉人・妖怪の攻30％UP</t>
    <phoneticPr fontId="1"/>
  </si>
  <si>
    <t>阿蘇山</t>
    <phoneticPr fontId="1"/>
  </si>
  <si>
    <t>火の国ボルケーノ</t>
    <phoneticPr fontId="1"/>
  </si>
  <si>
    <t>比良八荒</t>
    <phoneticPr fontId="1"/>
  </si>
  <si>
    <t>風と消えゆる乙女の恋火</t>
    <phoneticPr fontId="1"/>
  </si>
  <si>
    <t>明星天子</t>
    <phoneticPr fontId="1"/>
  </si>
  <si>
    <t>星宮の守護星</t>
    <phoneticPr fontId="1"/>
  </si>
  <si>
    <t>タイプ知性派・飲食の防25％UP</t>
    <phoneticPr fontId="1"/>
  </si>
  <si>
    <t>[新生]【豊穣】蓋井島の山ノ神</t>
    <phoneticPr fontId="1"/>
  </si>
  <si>
    <t>二支を渡りし禁足の地</t>
    <phoneticPr fontId="1"/>
  </si>
  <si>
    <t>タイプ【飲食】の攻25％UP</t>
    <phoneticPr fontId="1"/>
  </si>
  <si>
    <t>[新生]山ガール</t>
    <phoneticPr fontId="1"/>
  </si>
  <si>
    <t>熊本</t>
    <phoneticPr fontId="1"/>
  </si>
  <si>
    <t>ファッショナブルな開放感</t>
    <phoneticPr fontId="1"/>
  </si>
  <si>
    <t>佐竹義宜</t>
    <phoneticPr fontId="1"/>
  </si>
  <si>
    <t>武人</t>
    <phoneticPr fontId="1"/>
  </si>
  <si>
    <t>悲願の常陸統一</t>
    <phoneticPr fontId="1"/>
  </si>
  <si>
    <t>[新生]大隈重信</t>
    <phoneticPr fontId="1"/>
  </si>
  <si>
    <t>未来へ導く統率</t>
    <phoneticPr fontId="1"/>
  </si>
  <si>
    <t>【ねこみみ】飯坂局</t>
    <phoneticPr fontId="1"/>
  </si>
  <si>
    <t>萌え悶えるネズミ退治</t>
    <phoneticPr fontId="1"/>
  </si>
  <si>
    <t>【ねこみみ】足利氏姫</t>
    <phoneticPr fontId="1"/>
  </si>
  <si>
    <t>素直さゆえの誘惑</t>
    <phoneticPr fontId="1"/>
  </si>
  <si>
    <t>タイプ武人・伝承の攻25％UP</t>
    <phoneticPr fontId="1"/>
  </si>
  <si>
    <t>【ねこみみ】妙玖</t>
    <phoneticPr fontId="1"/>
  </si>
  <si>
    <t>戦国最高の癒し系</t>
    <phoneticPr fontId="1"/>
  </si>
  <si>
    <t>タイプ武人・伝承の防25％UP</t>
    <phoneticPr fontId="1"/>
  </si>
  <si>
    <t>[新生]麻布の大猫</t>
    <phoneticPr fontId="1"/>
  </si>
  <si>
    <t>[新生]ケットシー</t>
    <phoneticPr fontId="1"/>
  </si>
  <si>
    <t>【ねこみみ】珠姫</t>
    <phoneticPr fontId="1"/>
  </si>
  <si>
    <t>東京</t>
    <phoneticPr fontId="1"/>
  </si>
  <si>
    <t>無所属</t>
    <phoneticPr fontId="1"/>
  </si>
  <si>
    <t>石川</t>
    <phoneticPr fontId="1"/>
  </si>
  <si>
    <t>江戸の化け猫伝説</t>
    <phoneticPr fontId="1"/>
  </si>
  <si>
    <t>鄭重種族の妖精</t>
    <phoneticPr fontId="1"/>
  </si>
  <si>
    <t>タイプ【神秘】の攻30％DOWN</t>
    <phoneticPr fontId="1"/>
  </si>
  <si>
    <t>ハートを奪う攻撃力</t>
    <phoneticPr fontId="1"/>
  </si>
  <si>
    <t>[新生]【魔界】池田せん</t>
    <phoneticPr fontId="1"/>
  </si>
  <si>
    <t>飛び交う魔界の銃弾</t>
    <phoneticPr fontId="1"/>
  </si>
  <si>
    <t>かしわめし弁当ちゃん</t>
    <phoneticPr fontId="1"/>
  </si>
  <si>
    <t>飲食</t>
    <phoneticPr fontId="1"/>
  </si>
  <si>
    <t>しっとり煮込んだ秘伝の甘辛タレ</t>
    <phoneticPr fontId="1"/>
  </si>
  <si>
    <t>[新生]【行楽】秋鮭ちゃん</t>
    <phoneticPr fontId="1"/>
  </si>
  <si>
    <t>流氷と決意の帰還</t>
    <phoneticPr fontId="1"/>
  </si>
  <si>
    <t>タイプ神秘・知性派の防25％UP</t>
    <phoneticPr fontId="1"/>
  </si>
  <si>
    <t>[新生]蟹いなり</t>
    <phoneticPr fontId="1"/>
  </si>
  <si>
    <t>油揚げにひそむ贅沢</t>
    <phoneticPr fontId="1"/>
  </si>
  <si>
    <t>[新生]【魔王】ユキウサギちゃん</t>
    <phoneticPr fontId="1"/>
  </si>
  <si>
    <t>[新生]【ハロウィン】孝女白菊</t>
    <phoneticPr fontId="1"/>
  </si>
  <si>
    <t>[新生]天むす弁当ちゃん</t>
    <phoneticPr fontId="1"/>
  </si>
  <si>
    <t>愛知</t>
    <phoneticPr fontId="1"/>
  </si>
  <si>
    <t>魔王ユキウサギちゃんの活動</t>
    <phoneticPr fontId="1"/>
  </si>
  <si>
    <t>タイプ【妖怪】の攻25％UP</t>
    <phoneticPr fontId="1"/>
  </si>
  <si>
    <t>可憐に咲く白菊の乙女</t>
    <phoneticPr fontId="1"/>
  </si>
  <si>
    <t>タイプ【姫】の防25％UP</t>
    <phoneticPr fontId="1"/>
  </si>
  <si>
    <t>包む伝統名古屋めし</t>
    <phoneticPr fontId="1"/>
  </si>
  <si>
    <t>タイプ【神秘】の防25％UP</t>
    <phoneticPr fontId="1"/>
  </si>
  <si>
    <t>[新生]鯛しゃぶちゃん</t>
    <phoneticPr fontId="1"/>
  </si>
  <si>
    <t>湯で梳きしおめでた魚</t>
    <phoneticPr fontId="1"/>
  </si>
  <si>
    <t>コビトカバ</t>
    <phoneticPr fontId="1"/>
  </si>
  <si>
    <t>祖を形に残す密林の守り人</t>
    <phoneticPr fontId="1"/>
  </si>
  <si>
    <t>[新生]アマミノクロウサギちゃん</t>
    <phoneticPr fontId="1"/>
  </si>
  <si>
    <t>黒き原種</t>
    <phoneticPr fontId="1"/>
  </si>
  <si>
    <t>タイプ偉人・妖怪の防25％UP</t>
    <phoneticPr fontId="1"/>
  </si>
  <si>
    <t>[新生]ラッコ</t>
    <phoneticPr fontId="1"/>
  </si>
  <si>
    <t>愛らしく割られた貝殻</t>
    <phoneticPr fontId="1"/>
  </si>
  <si>
    <t>タイプ偉人・妖怪の攻25％UP</t>
    <phoneticPr fontId="1"/>
  </si>
  <si>
    <t>[新生]きつねうどんちゃん</t>
    <phoneticPr fontId="1"/>
  </si>
  <si>
    <t>[新生]奥村左近太</t>
    <phoneticPr fontId="1"/>
  </si>
  <si>
    <t>[新生]メダカ</t>
    <phoneticPr fontId="1"/>
  </si>
  <si>
    <t>大阪</t>
    <phoneticPr fontId="1"/>
  </si>
  <si>
    <t>温かく沁みたお揚げ</t>
    <phoneticPr fontId="1"/>
  </si>
  <si>
    <t>幕末最強の剣客の秘技</t>
    <phoneticPr fontId="1"/>
  </si>
  <si>
    <t>メダカの学校復活計画</t>
    <phoneticPr fontId="1"/>
  </si>
  <si>
    <t>タイプ【知性派】の攻25％UP</t>
    <phoneticPr fontId="1"/>
  </si>
  <si>
    <t>タイプ【武人】の防45％UP　/　タイプ【姫】の防15％UP</t>
  </si>
  <si>
    <t>タイプ【飲食】の攻55％UP　/　タイプ【知性派】の攻15％UP</t>
  </si>
  <si>
    <t>タイプ【飲食】の防35％UP　/　タイプ【知性派】の防15％UP</t>
  </si>
  <si>
    <t>タイプ【神秘】の防35％UP　/　タイプ【知性派】の防15％UP</t>
  </si>
  <si>
    <t>タイプ【姫】の攻35％UP　/　タイプ【伝承】の攻15％UP</t>
  </si>
  <si>
    <t>タイプ【妖怪】の防45％UP　/　タイプ【偉人】の防15％UP</t>
  </si>
  <si>
    <t>タイプ【伝承】の攻55％UP　/　タイプ【姫】の攻15％UP</t>
  </si>
  <si>
    <t>タイプ【伝承】の攻45％UP　/　タイプ【武人】の攻15％UP</t>
  </si>
  <si>
    <t>タイプ【神秘】の攻40％UP　/　タイプ知性派・飲食の攻15％UP</t>
  </si>
  <si>
    <t>タイプ【知性派】の攻35％UP　/　タイプ【飲食】の攻15％UP</t>
  </si>
  <si>
    <t>タイプ【神秘】の攻45％UP　/　タイプ【飲食】の攻15％UP</t>
  </si>
  <si>
    <t>タイプ【妖怪】の防55％UP　/　タイプ【名物】の防15％UP</t>
  </si>
  <si>
    <t>ぎんのすず</t>
    <phoneticPr fontId="1"/>
  </si>
  <si>
    <t>しんせいばれんたいんばけだぬき</t>
    <phoneticPr fontId="1"/>
  </si>
  <si>
    <t>ももたろうぞう</t>
    <phoneticPr fontId="1"/>
  </si>
  <si>
    <t>せんだいすてんどぐらす</t>
    <phoneticPr fontId="1"/>
  </si>
  <si>
    <t>いけふくろう</t>
    <phoneticPr fontId="1"/>
  </si>
  <si>
    <t>もあいちゃん</t>
    <phoneticPr fontId="1"/>
  </si>
  <si>
    <t>しんせいあみきり</t>
    <phoneticPr fontId="1"/>
  </si>
  <si>
    <t>しんせいばれんたいんそとおりひめ</t>
    <phoneticPr fontId="1"/>
  </si>
  <si>
    <t>しんせいゆぶじま</t>
    <phoneticPr fontId="1"/>
  </si>
  <si>
    <t>しんせいやぎょうさん</t>
    <phoneticPr fontId="1"/>
  </si>
  <si>
    <t>物忌みの一騎駆け</t>
    <phoneticPr fontId="1"/>
  </si>
  <si>
    <t>しんせいにんけんはつめのつぼね</t>
    <phoneticPr fontId="1"/>
  </si>
  <si>
    <t>奥義！忍犬と結束の術</t>
    <phoneticPr fontId="1"/>
  </si>
  <si>
    <t>しんせいつるまるくになが</t>
    <phoneticPr fontId="1"/>
  </si>
  <si>
    <t>洗練された三条の一刀</t>
    <phoneticPr fontId="1"/>
  </si>
  <si>
    <t>しんせいくしなだひめ</t>
    <phoneticPr fontId="1"/>
  </si>
  <si>
    <t>稲田守護の姫君</t>
    <phoneticPr fontId="1"/>
  </si>
  <si>
    <t>しんせいしゃぼんだま</t>
    <phoneticPr fontId="1"/>
  </si>
  <si>
    <t>一瞬に込めた儚い愛情</t>
    <phoneticPr fontId="1"/>
  </si>
  <si>
    <t>真心籠めた偽チョコレート</t>
    <phoneticPr fontId="1"/>
  </si>
  <si>
    <t>くろーばーはにーちゃん</t>
    <phoneticPr fontId="1"/>
  </si>
  <si>
    <t>しんせいがくもんのかみさますがわらみちざね</t>
    <phoneticPr fontId="1"/>
  </si>
  <si>
    <t>れもんはにーちゃん</t>
    <phoneticPr fontId="1"/>
  </si>
  <si>
    <t>れんげはにーちゃん</t>
    <phoneticPr fontId="1"/>
  </si>
  <si>
    <t>みるくせーきちゃん</t>
    <phoneticPr fontId="1"/>
  </si>
  <si>
    <t>しんせいまかろん</t>
    <phoneticPr fontId="1"/>
  </si>
  <si>
    <t>しんせいしろつめくさぎしゅうもんいんのたんご</t>
    <phoneticPr fontId="1"/>
  </si>
  <si>
    <t>しんせいおてんばこまひめ</t>
    <phoneticPr fontId="1"/>
  </si>
  <si>
    <t>しんせいらべんだーてぃーちゃん</t>
    <phoneticPr fontId="1"/>
  </si>
  <si>
    <t>しんせいいわえとぅんない</t>
    <phoneticPr fontId="1"/>
  </si>
  <si>
    <t>たいらのむねもり</t>
    <phoneticPr fontId="1"/>
  </si>
  <si>
    <t>さとうつぐのぶ</t>
    <phoneticPr fontId="1"/>
  </si>
  <si>
    <t>しんせいおくだいらさだはる</t>
    <phoneticPr fontId="1"/>
  </si>
  <si>
    <t>しんせいたいらののりつね</t>
    <phoneticPr fontId="1"/>
  </si>
  <si>
    <t>しんせいさくらとうろう</t>
    <phoneticPr fontId="1"/>
  </si>
  <si>
    <t>しんせいさくらまつりたらいこぎきょうそう</t>
    <phoneticPr fontId="1"/>
  </si>
  <si>
    <t>しんせいおおばかげちか</t>
    <phoneticPr fontId="1"/>
  </si>
  <si>
    <t>しんせいきしもじん</t>
    <phoneticPr fontId="1"/>
  </si>
  <si>
    <t>そうししゃいのくちあくり</t>
    <phoneticPr fontId="1"/>
  </si>
  <si>
    <t>うめむらきよみつ</t>
    <phoneticPr fontId="1"/>
  </si>
  <si>
    <t>しんせいせんくしゃくすもといね</t>
    <phoneticPr fontId="1"/>
  </si>
  <si>
    <t>しんせいせんくしゃただのまくず</t>
    <phoneticPr fontId="1"/>
  </si>
  <si>
    <t>しんせいめいぼくせんだいはぎ</t>
    <phoneticPr fontId="1"/>
  </si>
  <si>
    <t>しんせいごくひめかめじゅひめ</t>
    <phoneticPr fontId="1"/>
  </si>
  <si>
    <t>しんせいいとうひろぶみ</t>
    <phoneticPr fontId="1"/>
  </si>
  <si>
    <t>みよしまなぶ</t>
    <phoneticPr fontId="1"/>
  </si>
  <si>
    <t>しんせいなんぶつるひめ</t>
    <phoneticPr fontId="1"/>
  </si>
  <si>
    <t>はしもとちゅうたろう</t>
    <phoneticPr fontId="1"/>
  </si>
  <si>
    <t>こおりばかん</t>
    <phoneticPr fontId="1"/>
  </si>
  <si>
    <t>しんせいやじまかじこ</t>
    <phoneticPr fontId="1"/>
  </si>
  <si>
    <t>しんせいばんのぶとも</t>
    <phoneticPr fontId="1"/>
  </si>
  <si>
    <t>しんせいかぎやでかぜ</t>
    <phoneticPr fontId="1"/>
  </si>
  <si>
    <t>しんせいりょうらんおにくま</t>
    <phoneticPr fontId="1"/>
  </si>
  <si>
    <t>しんせいさくらうたきのしたかつとし</t>
    <phoneticPr fontId="1"/>
  </si>
  <si>
    <t>さんこうとうせんのけん</t>
    <phoneticPr fontId="1"/>
  </si>
  <si>
    <t>しんせいつるまるくになが</t>
    <phoneticPr fontId="1"/>
  </si>
  <si>
    <t>すいはひょうは</t>
    <phoneticPr fontId="1"/>
  </si>
  <si>
    <t>おにきりやすつな</t>
    <phoneticPr fontId="1"/>
  </si>
  <si>
    <t>しんせいうしごぜん</t>
    <phoneticPr fontId="1"/>
  </si>
  <si>
    <t>しんせいかんふーさんもんごさんのきり</t>
    <phoneticPr fontId="1"/>
  </si>
  <si>
    <t>しんせいあおめのう</t>
    <phoneticPr fontId="1"/>
  </si>
  <si>
    <t>しんせいねねきりまる</t>
    <phoneticPr fontId="1"/>
  </si>
  <si>
    <t>しんせいとんこり</t>
    <phoneticPr fontId="1"/>
  </si>
  <si>
    <t>だいせん</t>
    <phoneticPr fontId="1"/>
  </si>
  <si>
    <t>しんせいかるいざわこうげん</t>
    <phoneticPr fontId="1"/>
  </si>
  <si>
    <t>たてやま</t>
    <phoneticPr fontId="1"/>
  </si>
  <si>
    <t>あそさん</t>
    <phoneticPr fontId="1"/>
  </si>
  <si>
    <t>みょうじょうてんし</t>
    <phoneticPr fontId="1"/>
  </si>
  <si>
    <t>ひらはっこう</t>
    <phoneticPr fontId="1"/>
  </si>
  <si>
    <t>しんせいほうじょうふたおいじまのやまのかみ</t>
    <phoneticPr fontId="1"/>
  </si>
  <si>
    <t>しんせいやまがーる</t>
    <phoneticPr fontId="1"/>
  </si>
  <si>
    <t>さたけよしのぶ</t>
    <phoneticPr fontId="1"/>
  </si>
  <si>
    <t>ねこみみねね</t>
    <phoneticPr fontId="1"/>
  </si>
  <si>
    <t>しんせいおおくましげのぶ</t>
    <phoneticPr fontId="1"/>
  </si>
  <si>
    <t>ねこみみひのとみこ</t>
    <phoneticPr fontId="1"/>
  </si>
  <si>
    <t>ねこみみいいさかのつぼね</t>
    <phoneticPr fontId="1"/>
  </si>
  <si>
    <t>ねこみみみょうきゅう</t>
    <phoneticPr fontId="1"/>
  </si>
  <si>
    <t>ねこみみあしかがうじひめ</t>
    <phoneticPr fontId="1"/>
  </si>
  <si>
    <t>しんせいあざぶのおおねこ</t>
    <phoneticPr fontId="1"/>
  </si>
  <si>
    <t>しんせいけっとしー</t>
    <phoneticPr fontId="1"/>
  </si>
  <si>
    <t>ねこみみたまひめ</t>
    <phoneticPr fontId="1"/>
  </si>
  <si>
    <t>かにめしべんとうちゃん</t>
    <phoneticPr fontId="1"/>
  </si>
  <si>
    <t>しんせいまかいいけだせん</t>
    <phoneticPr fontId="1"/>
  </si>
  <si>
    <t>いんろうべんとうちゃん</t>
    <phoneticPr fontId="1"/>
  </si>
  <si>
    <t>かしわめしべんとうちゃん</t>
    <phoneticPr fontId="1"/>
  </si>
  <si>
    <t>しんせいこうらくあきざけちゃん</t>
    <phoneticPr fontId="1"/>
  </si>
  <si>
    <t>しんせいかにいなり</t>
    <phoneticPr fontId="1"/>
  </si>
  <si>
    <t>しんせいまおうゆきうさぎちゃん</t>
    <phoneticPr fontId="1"/>
  </si>
  <si>
    <t>しんせいはろうぃんこうじょしらぎく</t>
    <phoneticPr fontId="1"/>
  </si>
  <si>
    <t>しんせいてんむすべんとうちゃん</t>
    <phoneticPr fontId="1"/>
  </si>
  <si>
    <t>さーばるきゃっと</t>
    <phoneticPr fontId="1"/>
  </si>
  <si>
    <t>しんせいたいしゃぶちゃん</t>
    <phoneticPr fontId="1"/>
  </si>
  <si>
    <t>ほっきょくぐま</t>
    <phoneticPr fontId="1"/>
  </si>
  <si>
    <t>こびとかば</t>
    <phoneticPr fontId="1"/>
  </si>
  <si>
    <t>しんせいらっこ</t>
    <phoneticPr fontId="1"/>
  </si>
  <si>
    <t>しんせいあまみのくろうさぎちゃん</t>
    <phoneticPr fontId="1"/>
  </si>
  <si>
    <t>しんせいきつねうどんちゃん</t>
    <phoneticPr fontId="1"/>
  </si>
  <si>
    <t>しんせいおくむらさこんた</t>
    <phoneticPr fontId="1"/>
  </si>
  <si>
    <t>しんせいめだか</t>
    <phoneticPr fontId="1"/>
  </si>
  <si>
    <t>くわがみあぢすきたかひこね</t>
    <phoneticPr fontId="1"/>
  </si>
  <si>
    <t>しんせいゆらみょういんに</t>
    <phoneticPr fontId="1"/>
  </si>
  <si>
    <t>いしこりどめ</t>
    <phoneticPr fontId="1"/>
  </si>
  <si>
    <t>あめのふとだまのみこと</t>
    <phoneticPr fontId="1"/>
  </si>
  <si>
    <t>しんせいあもろうなぐ</t>
    <phoneticPr fontId="1"/>
  </si>
  <si>
    <t>しんせいほうじょうきくりひめ</t>
    <phoneticPr fontId="1"/>
  </si>
  <si>
    <t>しんせいほりこしじろう</t>
    <phoneticPr fontId="1"/>
  </si>
  <si>
    <t>しんせいめいせん</t>
    <phoneticPr fontId="1"/>
  </si>
  <si>
    <t>しんせいみずぎくりすますてんそ</t>
    <phoneticPr fontId="1"/>
  </si>
  <si>
    <t>12,?,?</t>
    <phoneticPr fontId="1"/>
  </si>
  <si>
    <t>12+?+?</t>
    <phoneticPr fontId="1"/>
  </si>
  <si>
    <t>14+12+(13+13)</t>
    <phoneticPr fontId="1"/>
  </si>
  <si>
    <t>14+13+(13+13)</t>
    <phoneticPr fontId="1"/>
  </si>
  <si>
    <t>15+13+(14+13)</t>
    <phoneticPr fontId="1"/>
  </si>
  <si>
    <t>リリース不明</t>
    <rPh sb="4" eb="6">
      <t>フメイ</t>
    </rPh>
    <phoneticPr fontId="1"/>
  </si>
  <si>
    <t>2017/03龍神杯</t>
    <rPh sb="7" eb="9">
      <t>リュウジン</t>
    </rPh>
    <rPh sb="9" eb="10">
      <t>ハイ</t>
    </rPh>
    <phoneticPr fontId="1"/>
  </si>
  <si>
    <t>2017/08龍神杯</t>
    <rPh sb="7" eb="9">
      <t>リュウジン</t>
    </rPh>
    <rPh sb="9" eb="10">
      <t>ハイ</t>
    </rPh>
    <phoneticPr fontId="1"/>
  </si>
  <si>
    <t>備考</t>
    <rPh sb="0" eb="2">
      <t>ビコウ</t>
    </rPh>
    <phoneticPr fontId="1"/>
  </si>
  <si>
    <t>竜の卵</t>
    <rPh sb="0" eb="1">
      <t>リュウ</t>
    </rPh>
    <rPh sb="2" eb="3">
      <t>タマゴ</t>
    </rPh>
    <phoneticPr fontId="1"/>
  </si>
  <si>
    <t>竜の卵</t>
    <rPh sb="2" eb="3">
      <t>タマゴ</t>
    </rPh>
    <phoneticPr fontId="1"/>
  </si>
  <si>
    <t>金小判</t>
    <rPh sb="0" eb="1">
      <t>キン</t>
    </rPh>
    <rPh sb="1" eb="3">
      <t>コバン</t>
    </rPh>
    <phoneticPr fontId="1"/>
  </si>
  <si>
    <t>最終・一撃・功績・金銀小判</t>
    <rPh sb="3" eb="5">
      <t>イチゲキ</t>
    </rPh>
    <rPh sb="6" eb="8">
      <t>コウセキ</t>
    </rPh>
    <rPh sb="9" eb="11">
      <t>キンギン</t>
    </rPh>
    <rPh sb="11" eb="13">
      <t>コバン</t>
    </rPh>
    <phoneticPr fontId="1"/>
  </si>
  <si>
    <t>一撃・銀小判</t>
    <rPh sb="0" eb="2">
      <t>イチゲキ</t>
    </rPh>
    <rPh sb="3" eb="4">
      <t>ギン</t>
    </rPh>
    <rPh sb="4" eb="6">
      <t>コバン</t>
    </rPh>
    <phoneticPr fontId="1"/>
  </si>
  <si>
    <t>中間・最終・一撃・功績</t>
    <rPh sb="6" eb="8">
      <t>イチゲキ</t>
    </rPh>
    <rPh sb="9" eb="11">
      <t>コウセキ</t>
    </rPh>
    <phoneticPr fontId="1"/>
  </si>
  <si>
    <t>竜の卵の入手元は、金銀小判ガチャ・累積功績・合戦報酬・まいにち報酬・デイリーランキング</t>
    <rPh sb="0" eb="1">
      <t>リュウ</t>
    </rPh>
    <rPh sb="2" eb="3">
      <t>タマゴ</t>
    </rPh>
    <rPh sb="4" eb="6">
      <t>ニュウシュ</t>
    </rPh>
    <rPh sb="6" eb="7">
      <t>モト</t>
    </rPh>
    <rPh sb="9" eb="11">
      <t>キンギン</t>
    </rPh>
    <rPh sb="11" eb="13">
      <t>コバン</t>
    </rPh>
    <rPh sb="17" eb="19">
      <t>ルイセキ</t>
    </rPh>
    <rPh sb="19" eb="21">
      <t>コウセキ</t>
    </rPh>
    <rPh sb="22" eb="24">
      <t>カッセン</t>
    </rPh>
    <rPh sb="24" eb="26">
      <t>ホウシュウ</t>
    </rPh>
    <rPh sb="31" eb="33">
      <t>ホウシュウ</t>
    </rPh>
    <phoneticPr fontId="1"/>
  </si>
  <si>
    <t>コスト12攻12200防10118</t>
    <rPh sb="5" eb="6">
      <t>コウ</t>
    </rPh>
    <rPh sb="11" eb="12">
      <t>ボウ</t>
    </rPh>
    <phoneticPr fontId="1"/>
  </si>
  <si>
    <t>【新生】クシナダヒメ</t>
    <phoneticPr fontId="1"/>
  </si>
  <si>
    <t>[新生]シャボン玉</t>
    <phoneticPr fontId="1"/>
  </si>
  <si>
    <t>[新生]【バレンタイン】バケダヌキ</t>
    <phoneticPr fontId="1"/>
  </si>
  <si>
    <t>2017/02龍神杯</t>
    <rPh sb="7" eb="9">
      <t>リュウジン</t>
    </rPh>
    <rPh sb="9" eb="10">
      <t>ハイ</t>
    </rPh>
    <phoneticPr fontId="1"/>
  </si>
  <si>
    <t>【新生】夜行さん</t>
    <phoneticPr fontId="1"/>
  </si>
  <si>
    <t>【新生】【忍犬】初芽局</t>
    <phoneticPr fontId="1"/>
  </si>
  <si>
    <t>[新生]鶴丸国永</t>
    <phoneticPr fontId="1"/>
  </si>
  <si>
    <t>復活新生SR引換券を追加</t>
    <rPh sb="10" eb="12">
      <t>ツイカ</t>
    </rPh>
    <phoneticPr fontId="1"/>
  </si>
  <si>
    <t>当月開催分をもって龍神杯廃止</t>
    <rPh sb="0" eb="2">
      <t>トウゲツ</t>
    </rPh>
    <rPh sb="2" eb="4">
      <t>カイサイ</t>
    </rPh>
    <rPh sb="4" eb="5">
      <t>ブン</t>
    </rPh>
    <rPh sb="9" eb="11">
      <t>リュウジン</t>
    </rPh>
    <rPh sb="11" eb="12">
      <t>ハイ</t>
    </rPh>
    <rPh sb="12" eb="14">
      <t>ハイシ</t>
    </rPh>
    <phoneticPr fontId="1"/>
  </si>
  <si>
    <t>当月より龍神杯の一部二部制廃止</t>
    <rPh sb="0" eb="2">
      <t>トウゲツ</t>
    </rPh>
    <rPh sb="4" eb="6">
      <t>リュウジン</t>
    </rPh>
    <rPh sb="6" eb="7">
      <t>ハイ</t>
    </rPh>
    <rPh sb="8" eb="10">
      <t>イチブ</t>
    </rPh>
    <rPh sb="10" eb="12">
      <t>ニブ</t>
    </rPh>
    <rPh sb="12" eb="13">
      <t>セイ</t>
    </rPh>
    <rPh sb="13" eb="15">
      <t>ハイシ</t>
    </rPh>
    <phoneticPr fontId="1"/>
  </si>
  <si>
    <t>狸と共に踊りし舞姫</t>
    <rPh sb="0" eb="1">
      <t>タヌキ</t>
    </rPh>
    <rPh sb="2" eb="3">
      <t>トモ</t>
    </rPh>
    <rPh sb="4" eb="5">
      <t>オド</t>
    </rPh>
    <rPh sb="7" eb="9">
      <t>マイヒメ</t>
    </rPh>
    <phoneticPr fontId="2"/>
  </si>
  <si>
    <t>タイプ武人・伝承の攻30％UP　/　タイプ【姫】の攻20％UP</t>
    <rPh sb="9" eb="10">
      <t>コウ</t>
    </rPh>
    <rPh sb="25" eb="26">
      <t>コウ</t>
    </rPh>
    <phoneticPr fontId="2"/>
  </si>
  <si>
    <t>姫</t>
    <rPh sb="0" eb="1">
      <t>ヒメ</t>
    </rPh>
    <phoneticPr fontId="2"/>
  </si>
  <si>
    <t>【姫甲冑】慈光院</t>
    <rPh sb="1" eb="2">
      <t>ヒメ</t>
    </rPh>
    <rPh sb="2" eb="4">
      <t>カッチュウ</t>
    </rPh>
    <rPh sb="5" eb="8">
      <t>ジコウイン</t>
    </rPh>
    <phoneticPr fontId="2"/>
  </si>
  <si>
    <t>ひめかっちゅうじこういん</t>
  </si>
  <si>
    <t>約9150</t>
    <rPh sb="0" eb="1">
      <t>ヤク</t>
    </rPh>
    <phoneticPr fontId="1"/>
  </si>
  <si>
    <t>約7589</t>
    <rPh sb="0" eb="1">
      <t>ヤク</t>
    </rPh>
    <phoneticPr fontId="1"/>
  </si>
  <si>
    <t>約39516</t>
    <rPh sb="0" eb="1">
      <t>ヤク</t>
    </rPh>
    <phoneticPr fontId="1"/>
  </si>
  <si>
    <t>約42507</t>
    <rPh sb="0" eb="1">
      <t>ヤク</t>
    </rPh>
    <phoneticPr fontId="1"/>
  </si>
  <si>
    <t>中間・最終・一撃</t>
    <phoneticPr fontId="1"/>
  </si>
  <si>
    <t>C18 攻71128 防76512</t>
    <phoneticPr fontId="1"/>
  </si>
  <si>
    <t>2018/11/23古豪戦傑ガチャ</t>
    <phoneticPr fontId="1"/>
  </si>
  <si>
    <t>2018/12/19古豪戦傑ガチャ</t>
    <phoneticPr fontId="1"/>
  </si>
  <si>
    <t>2019/01/25古豪戦傑ガチャ</t>
    <rPh sb="10" eb="12">
      <t>コゴウ</t>
    </rPh>
    <rPh sb="12" eb="13">
      <t>セン</t>
    </rPh>
    <rPh sb="13" eb="14">
      <t>ケツ</t>
    </rPh>
    <phoneticPr fontId="1"/>
  </si>
  <si>
    <t>2019/04/10古豪戦傑ガチャ</t>
    <rPh sb="10" eb="12">
      <t>コゴウ</t>
    </rPh>
    <rPh sb="12" eb="13">
      <t>セン</t>
    </rPh>
    <rPh sb="13" eb="14">
      <t>ケツ</t>
    </rPh>
    <phoneticPr fontId="1"/>
  </si>
  <si>
    <t>2019/04/19古豪戦傑ガチャ</t>
    <rPh sb="10" eb="12">
      <t>コゴウ</t>
    </rPh>
    <rPh sb="12" eb="13">
      <t>セン</t>
    </rPh>
    <rPh sb="13" eb="14">
      <t>ケツ</t>
    </rPh>
    <phoneticPr fontId="1"/>
  </si>
  <si>
    <t>2019/05/19古豪戦傑ガチャ</t>
    <phoneticPr fontId="1"/>
  </si>
  <si>
    <t>2019/06/19古豪戦傑ガチャ</t>
    <rPh sb="10" eb="12">
      <t>コゴウ</t>
    </rPh>
    <rPh sb="12" eb="13">
      <t>セン</t>
    </rPh>
    <rPh sb="13" eb="14">
      <t>ケツ</t>
    </rPh>
    <phoneticPr fontId="1"/>
  </si>
  <si>
    <t>2019/06/28古豪戦傑ガチャ</t>
    <rPh sb="10" eb="12">
      <t>コゴウ</t>
    </rPh>
    <rPh sb="12" eb="13">
      <t>セン</t>
    </rPh>
    <rPh sb="13" eb="14">
      <t>ケツ</t>
    </rPh>
    <phoneticPr fontId="1"/>
  </si>
  <si>
    <t>2019/08/19古豪戦傑ガチャ</t>
    <rPh sb="10" eb="12">
      <t>コゴウ</t>
    </rPh>
    <rPh sb="12" eb="13">
      <t>セン</t>
    </rPh>
    <rPh sb="13" eb="14">
      <t>ケツ</t>
    </rPh>
    <phoneticPr fontId="1"/>
  </si>
  <si>
    <t>2019/09/10,19古豪戦傑ガチャ</t>
    <rPh sb="13" eb="15">
      <t>コゴウ</t>
    </rPh>
    <rPh sb="15" eb="16">
      <t>セン</t>
    </rPh>
    <rPh sb="16" eb="17">
      <t>ケツ</t>
    </rPh>
    <phoneticPr fontId="1"/>
  </si>
  <si>
    <t>2020/01/22古豪戦傑ガチャ</t>
    <rPh sb="10" eb="12">
      <t>コゴウ</t>
    </rPh>
    <rPh sb="12" eb="13">
      <t>セン</t>
    </rPh>
    <rPh sb="13" eb="14">
      <t>ケツ</t>
    </rPh>
    <phoneticPr fontId="1"/>
  </si>
  <si>
    <t>図鑑済</t>
  </si>
  <si>
    <t>図鑑済 処16+15+(16+15),14,14,14,15</t>
    <rPh sb="4" eb="5">
      <t>ショ</t>
    </rPh>
    <phoneticPr fontId="1"/>
  </si>
  <si>
    <t>竜の卵を3進させれば対象Rか、もしくは低確率でSRに変化</t>
    <rPh sb="0" eb="1">
      <t>リュウ</t>
    </rPh>
    <rPh sb="2" eb="3">
      <t>タマゴ</t>
    </rPh>
    <rPh sb="5" eb="6">
      <t>シン</t>
    </rPh>
    <rPh sb="10" eb="12">
      <t>タイショウ</t>
    </rPh>
    <rPh sb="19" eb="22">
      <t>テイカクリツ</t>
    </rPh>
    <rPh sb="26" eb="28">
      <t>ヘンカ</t>
    </rPh>
    <phoneticPr fontId="1"/>
  </si>
  <si>
    <t>15+13+(14+14)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</si>
</sst>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b/>
      <sz val="11"/>
      <color theme="0"/>
      <name val="Yu Gothic"/>
      <family val="3"/>
      <charset val="128"/>
    </font>
    <font>
      <b/>
      <sz val="11"/>
      <color theme="0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2E0E6-BD7B-468D-B65D-E21411B6C28A}">
  <dimension ref="A1:S23"/>
  <sheetViews>
    <sheetView zoomScale="55" zoomScaleNormal="55" workbookViewId="0"/>
  </sheetViews>
  <sheetFormatPr defaultColWidth="8.9140625" defaultRowHeight="18"/>
  <cols>
    <col min="1" max="1" width="6.4140625" style="4" customWidth="1"/>
    <col min="2" max="2" width="3.9140625" style="4" customWidth="1"/>
    <col min="3" max="3" width="12.25" style="4" customWidth="1"/>
    <col min="4" max="4" width="5.4140625" style="4" customWidth="1"/>
    <col min="5" max="5" width="31" style="4" customWidth="1"/>
    <col min="6" max="6" width="3.9140625" style="4" customWidth="1"/>
    <col min="7" max="7" width="30.9140625" style="4" hidden="1" customWidth="1"/>
    <col min="8" max="8" width="12.9140625" style="4" hidden="1" customWidth="1"/>
    <col min="9" max="9" width="17.33203125" style="4" hidden="1" customWidth="1"/>
    <col min="10" max="10" width="3.75" style="4" customWidth="1"/>
    <col min="11" max="12" width="7.08203125" style="4" customWidth="1"/>
    <col min="13" max="13" width="30.9140625" style="4" hidden="1" customWidth="1"/>
    <col min="14" max="14" width="71" style="4" customWidth="1"/>
    <col min="15" max="15" width="25.9140625" style="4" customWidth="1"/>
    <col min="16" max="18" width="8.9140625" style="4"/>
    <col min="19" max="19" width="8.6640625" customWidth="1"/>
    <col min="20" max="16384" width="8.9140625" style="4"/>
  </cols>
  <sheetData>
    <row r="1" spans="1:19" s="1" customFormat="1">
      <c r="A1" s="2" t="s">
        <v>92</v>
      </c>
      <c r="B1" s="2" t="s">
        <v>26</v>
      </c>
      <c r="C1" s="2" t="s">
        <v>19</v>
      </c>
      <c r="D1" s="2" t="s">
        <v>20</v>
      </c>
      <c r="E1" s="2" t="s">
        <v>21</v>
      </c>
      <c r="F1" s="2" t="s">
        <v>93</v>
      </c>
      <c r="G1" s="2" t="s">
        <v>94</v>
      </c>
      <c r="H1" s="3" t="s">
        <v>30</v>
      </c>
      <c r="I1" s="3" t="s">
        <v>22</v>
      </c>
      <c r="J1" s="3" t="s">
        <v>78</v>
      </c>
      <c r="K1" s="3" t="s">
        <v>23</v>
      </c>
      <c r="L1" s="3" t="s">
        <v>24</v>
      </c>
      <c r="M1" s="3" t="s">
        <v>25</v>
      </c>
      <c r="N1" s="3" t="s">
        <v>480</v>
      </c>
      <c r="O1" s="3" t="s">
        <v>936</v>
      </c>
    </row>
    <row r="2" spans="1:19">
      <c r="E2" s="5"/>
      <c r="F2" s="5"/>
      <c r="S2" s="4"/>
    </row>
    <row r="3" spans="1:19">
      <c r="A3" s="4">
        <v>58123</v>
      </c>
      <c r="B3" s="4" t="s">
        <v>95</v>
      </c>
      <c r="C3" s="4" t="s">
        <v>513</v>
      </c>
      <c r="D3" s="4" t="s">
        <v>482</v>
      </c>
      <c r="E3" s="4" t="s">
        <v>512</v>
      </c>
      <c r="F3" s="5" t="str">
        <f>HYPERLINK("https://stat100.ameba.jp/tnk47/ratio20/illustrations/card/ill_58123_himekatchumegohime03.jpg", "■")</f>
        <v>■</v>
      </c>
      <c r="G3" s="4" t="s">
        <v>544</v>
      </c>
      <c r="J3" s="4">
        <v>10</v>
      </c>
      <c r="K3" s="1">
        <v>38544</v>
      </c>
      <c r="L3" s="1">
        <v>35836</v>
      </c>
      <c r="M3" s="4" t="s">
        <v>515</v>
      </c>
      <c r="N3" s="4" t="s">
        <v>674</v>
      </c>
      <c r="O3" s="4" t="s">
        <v>968</v>
      </c>
      <c r="S3" s="4"/>
    </row>
    <row r="4" spans="1:19">
      <c r="A4" s="4">
        <v>60383</v>
      </c>
      <c r="B4" s="4" t="s">
        <v>9</v>
      </c>
      <c r="C4" s="4" t="s">
        <v>517</v>
      </c>
      <c r="D4" s="4" t="s">
        <v>518</v>
      </c>
      <c r="E4" s="4" t="s">
        <v>516</v>
      </c>
      <c r="F4" s="5" t="str">
        <f>HYPERLINK("https://stat100.ameba.jp/tnk47/ratio20/illustrations/card/ill_60383_shinseishinkageryuyagyujube03.jpg", "■")</f>
        <v>■</v>
      </c>
      <c r="G4" s="4" t="s">
        <v>545</v>
      </c>
      <c r="J4" s="4">
        <v>13</v>
      </c>
      <c r="K4" s="4">
        <v>30283</v>
      </c>
      <c r="L4" s="4">
        <v>33384</v>
      </c>
      <c r="M4" s="4" t="s">
        <v>519</v>
      </c>
      <c r="N4" s="4" t="s">
        <v>520</v>
      </c>
      <c r="S4" s="4"/>
    </row>
    <row r="5" spans="1:19">
      <c r="A5" s="4">
        <v>58153</v>
      </c>
      <c r="B5" s="4" t="s">
        <v>9</v>
      </c>
      <c r="C5" s="4" t="s">
        <v>145</v>
      </c>
      <c r="D5" s="4" t="s">
        <v>957</v>
      </c>
      <c r="E5" s="4" t="s">
        <v>958</v>
      </c>
      <c r="F5" s="5" t="str">
        <f>HYPERLINK("https://stat100.ameba.jp/tnk47/ratio20/illustrations/card/ill_58153_himekatchujikoin03.jpg", "■")</f>
        <v>■</v>
      </c>
      <c r="G5" s="4" t="s">
        <v>959</v>
      </c>
      <c r="J5" s="4">
        <v>8</v>
      </c>
      <c r="K5" s="4">
        <v>23712</v>
      </c>
      <c r="L5" s="4">
        <v>21507</v>
      </c>
      <c r="M5" s="4" t="s">
        <v>955</v>
      </c>
      <c r="N5" s="4" t="s">
        <v>956</v>
      </c>
      <c r="S5" s="4"/>
    </row>
    <row r="6" spans="1:19">
      <c r="A6" s="4">
        <v>58133</v>
      </c>
      <c r="B6" s="4" t="s">
        <v>9</v>
      </c>
      <c r="C6" s="4" t="s">
        <v>483</v>
      </c>
      <c r="D6" s="4" t="s">
        <v>482</v>
      </c>
      <c r="E6" s="4" t="s">
        <v>524</v>
      </c>
      <c r="F6" s="5" t="str">
        <f>HYPERLINK("https://stat100.ameba.jp/tnk47/ratio20/illustrations/card/ill_58133_himekatchutobaiin03.jpg", "■")</f>
        <v>■</v>
      </c>
      <c r="G6" s="4" t="s">
        <v>547</v>
      </c>
      <c r="J6" s="4">
        <v>6</v>
      </c>
      <c r="K6" s="4">
        <v>17784</v>
      </c>
      <c r="L6" s="4">
        <v>16130</v>
      </c>
      <c r="M6" s="4" t="s">
        <v>526</v>
      </c>
      <c r="N6" s="4" t="s">
        <v>675</v>
      </c>
      <c r="S6" s="4"/>
    </row>
    <row r="7" spans="1:19">
      <c r="A7" s="4">
        <v>58163</v>
      </c>
      <c r="B7" s="4" t="s">
        <v>10</v>
      </c>
      <c r="C7" s="4" t="s">
        <v>532</v>
      </c>
      <c r="D7" s="4" t="s">
        <v>482</v>
      </c>
      <c r="E7" s="4" t="s">
        <v>531</v>
      </c>
      <c r="F7" s="5" t="str">
        <f>HYPERLINK("https://stat100.ameba.jp/tnk47/ratio20/illustrations/card/ill_58163_katakurakita03.jpg", "■")</f>
        <v>■</v>
      </c>
      <c r="G7" s="4" t="s">
        <v>549</v>
      </c>
      <c r="J7" s="4">
        <v>9</v>
      </c>
      <c r="K7" s="4">
        <v>18712</v>
      </c>
      <c r="L7" s="4">
        <v>15559</v>
      </c>
      <c r="M7" s="4" t="s">
        <v>533</v>
      </c>
      <c r="N7" s="4" t="s">
        <v>2</v>
      </c>
      <c r="S7" s="4"/>
    </row>
    <row r="8" spans="1:19">
      <c r="A8" s="4">
        <v>58183</v>
      </c>
      <c r="B8" s="4" t="s">
        <v>10</v>
      </c>
      <c r="C8" s="4" t="s">
        <v>528</v>
      </c>
      <c r="D8" s="4" t="s">
        <v>482</v>
      </c>
      <c r="E8" s="4" t="s">
        <v>527</v>
      </c>
      <c r="F8" s="5" t="str">
        <f>HYPERLINK("https://stat100.ameba.jp/tnk47/ratio20/illustrations/card/ill_58183_arimanatsuhime03.jpg", "■")</f>
        <v>■</v>
      </c>
      <c r="G8" s="4" t="s">
        <v>548</v>
      </c>
      <c r="J8" s="4">
        <v>8</v>
      </c>
      <c r="K8" s="4">
        <v>13830</v>
      </c>
      <c r="L8" s="4">
        <v>16633</v>
      </c>
      <c r="M8" s="4" t="s">
        <v>529</v>
      </c>
      <c r="N8" s="4" t="s">
        <v>530</v>
      </c>
      <c r="S8" s="4"/>
    </row>
    <row r="9" spans="1:19">
      <c r="A9" s="4">
        <v>60433</v>
      </c>
      <c r="B9" s="4" t="s">
        <v>11</v>
      </c>
      <c r="C9" s="4" t="s">
        <v>534</v>
      </c>
      <c r="D9" s="4" t="s">
        <v>75</v>
      </c>
      <c r="E9" s="4" t="s">
        <v>539</v>
      </c>
      <c r="F9" s="5" t="str">
        <f>HYPERLINK("https://stat100.ameba.jp/tnk47/ratio20/illustrations/card/ill_60433_shinseiisebichan03.jpg", "■")</f>
        <v>■</v>
      </c>
      <c r="G9" s="4" t="s">
        <v>551</v>
      </c>
      <c r="J9" s="4">
        <v>9</v>
      </c>
      <c r="K9" s="4">
        <v>9514</v>
      </c>
      <c r="L9" s="4">
        <v>11329</v>
      </c>
      <c r="M9" s="4" t="s">
        <v>540</v>
      </c>
      <c r="N9" s="4" t="s">
        <v>541</v>
      </c>
      <c r="S9" s="4"/>
    </row>
    <row r="10" spans="1:19">
      <c r="A10" s="4">
        <v>60443</v>
      </c>
      <c r="B10" s="4" t="s">
        <v>11</v>
      </c>
      <c r="C10" s="4" t="s">
        <v>535</v>
      </c>
      <c r="D10" s="4" t="s">
        <v>287</v>
      </c>
      <c r="E10" s="4" t="s">
        <v>542</v>
      </c>
      <c r="F10" s="5" t="str">
        <f>HYPERLINK("https://stat100.ameba.jp/tnk47/ratio20/illustrations/card/ill_60443_shinseishitakirisuzume03.jpg", "■")</f>
        <v>■</v>
      </c>
      <c r="G10" s="4" t="s">
        <v>552</v>
      </c>
      <c r="J10" s="4">
        <v>9</v>
      </c>
      <c r="K10" s="4">
        <v>11329</v>
      </c>
      <c r="L10" s="4">
        <v>9514</v>
      </c>
      <c r="M10" s="4" t="s">
        <v>543</v>
      </c>
      <c r="N10" s="4" t="s">
        <v>28</v>
      </c>
      <c r="S10" s="4"/>
    </row>
    <row r="11" spans="1:19">
      <c r="A11" s="4">
        <v>58193</v>
      </c>
      <c r="B11" s="4" t="s">
        <v>11</v>
      </c>
      <c r="C11" s="4" t="s">
        <v>57</v>
      </c>
      <c r="D11" s="4" t="s">
        <v>288</v>
      </c>
      <c r="E11" s="4" t="s">
        <v>536</v>
      </c>
      <c r="F11" s="5" t="str">
        <f>HYPERLINK("https://stat100.ameba.jp/tnk47/ratio20/illustrations/card/ill_58193_nekogozen03.jpg", "■")</f>
        <v>■</v>
      </c>
      <c r="G11" s="4" t="s">
        <v>550</v>
      </c>
      <c r="J11" s="4">
        <v>6</v>
      </c>
      <c r="K11" s="4">
        <v>7552</v>
      </c>
      <c r="L11" s="4">
        <v>6343</v>
      </c>
      <c r="M11" s="4" t="s">
        <v>537</v>
      </c>
      <c r="N11" s="4" t="s">
        <v>538</v>
      </c>
      <c r="S11" s="4"/>
    </row>
    <row r="12" spans="1:19">
      <c r="S12" s="4"/>
    </row>
    <row r="13" spans="1:19">
      <c r="S13" s="4"/>
    </row>
    <row r="14" spans="1:19">
      <c r="S14" s="4"/>
    </row>
    <row r="15" spans="1:19">
      <c r="S15" s="4"/>
    </row>
    <row r="16" spans="1:19">
      <c r="S16" s="4"/>
    </row>
    <row r="17" spans="19:19">
      <c r="S17" s="4"/>
    </row>
    <row r="18" spans="19:19">
      <c r="S18" s="4"/>
    </row>
    <row r="19" spans="19:19">
      <c r="S19" s="4"/>
    </row>
    <row r="20" spans="19:19">
      <c r="S20" s="4"/>
    </row>
    <row r="21" spans="19:19">
      <c r="S21" s="4"/>
    </row>
    <row r="22" spans="19:19">
      <c r="S22" s="4"/>
    </row>
    <row r="23" spans="19:19">
      <c r="S23" s="4"/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7D277-E6FB-405B-9F60-365B78CB771B}">
  <dimension ref="A1:O23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4140625" style="4" customWidth="1"/>
    <col min="2" max="2" width="3.9140625" style="4" customWidth="1"/>
    <col min="3" max="3" width="12.25" style="4" customWidth="1"/>
    <col min="4" max="4" width="5.4140625" style="4" customWidth="1"/>
    <col min="5" max="5" width="31" style="4" customWidth="1"/>
    <col min="6" max="6" width="3.9140625" style="4" customWidth="1"/>
    <col min="7" max="7" width="30.9140625" style="4" hidden="1" customWidth="1"/>
    <col min="8" max="8" width="12.9140625" style="4" hidden="1" customWidth="1"/>
    <col min="9" max="9" width="17.33203125" style="4" hidden="1" customWidth="1"/>
    <col min="10" max="10" width="3.75" style="4" customWidth="1"/>
    <col min="11" max="12" width="7.08203125" style="4" customWidth="1"/>
    <col min="13" max="13" width="30.9140625" style="4" hidden="1" customWidth="1"/>
    <col min="14" max="14" width="71" style="4" customWidth="1"/>
    <col min="15" max="15" width="25.9140625" style="4" customWidth="1"/>
    <col min="16" max="16384" width="8.9140625" style="4"/>
  </cols>
  <sheetData>
    <row r="1" spans="1:15" s="1" customFormat="1">
      <c r="A1" s="2" t="s">
        <v>92</v>
      </c>
      <c r="B1" s="2" t="s">
        <v>26</v>
      </c>
      <c r="C1" s="2" t="s">
        <v>19</v>
      </c>
      <c r="D1" s="2" t="s">
        <v>20</v>
      </c>
      <c r="E1" s="2" t="s">
        <v>21</v>
      </c>
      <c r="F1" s="2" t="s">
        <v>93</v>
      </c>
      <c r="G1" s="2" t="s">
        <v>94</v>
      </c>
      <c r="H1" s="3" t="s">
        <v>30</v>
      </c>
      <c r="I1" s="3" t="s">
        <v>22</v>
      </c>
      <c r="J1" s="3" t="s">
        <v>78</v>
      </c>
      <c r="K1" s="3" t="s">
        <v>23</v>
      </c>
      <c r="L1" s="3" t="s">
        <v>24</v>
      </c>
      <c r="M1" s="3" t="s">
        <v>25</v>
      </c>
      <c r="N1" s="3" t="s">
        <v>480</v>
      </c>
      <c r="O1" s="3" t="s">
        <v>936</v>
      </c>
    </row>
    <row r="2" spans="1:15">
      <c r="E2" s="5"/>
      <c r="F2" s="5"/>
    </row>
    <row r="3" spans="1:15">
      <c r="A3" s="4">
        <v>47953</v>
      </c>
      <c r="B3" s="4" t="s">
        <v>95</v>
      </c>
      <c r="C3" s="4" t="s">
        <v>317</v>
      </c>
      <c r="D3" s="4" t="s">
        <v>186</v>
      </c>
      <c r="E3" s="4" t="s">
        <v>469</v>
      </c>
      <c r="F3" s="5" t="str">
        <f>HYPERLINK("https://stat100.ameba.jp/tnk47/ratio20/illustrations/card/ill_47953_nekomiminene03.jpg", "■")</f>
        <v>■</v>
      </c>
      <c r="G3" s="4" t="s">
        <v>892</v>
      </c>
      <c r="J3" s="4">
        <v>10</v>
      </c>
      <c r="K3" s="4">
        <v>39061</v>
      </c>
      <c r="L3" s="4">
        <v>36304</v>
      </c>
      <c r="M3" s="4" t="s">
        <v>470</v>
      </c>
      <c r="N3" s="4" t="s">
        <v>361</v>
      </c>
      <c r="O3" s="4" t="s">
        <v>971</v>
      </c>
    </row>
    <row r="4" spans="1:15">
      <c r="A4" s="4">
        <v>65813</v>
      </c>
      <c r="B4" s="4" t="s">
        <v>9</v>
      </c>
      <c r="C4" s="4" t="s">
        <v>658</v>
      </c>
      <c r="D4" s="4" t="s">
        <v>651</v>
      </c>
      <c r="E4" s="4" t="s">
        <v>750</v>
      </c>
      <c r="F4" s="5" t="str">
        <f>HYPERLINK("https://stat100.ameba.jp/tnk47/ratio20/illustrations/card/ill_65813_okumashigenobu03.jpg", "■")</f>
        <v>■</v>
      </c>
      <c r="G4" s="4" t="s">
        <v>893</v>
      </c>
      <c r="J4" s="4">
        <v>13</v>
      </c>
      <c r="K4" s="4">
        <v>30283</v>
      </c>
      <c r="L4" s="4">
        <v>33384</v>
      </c>
      <c r="M4" s="4" t="s">
        <v>751</v>
      </c>
      <c r="N4" s="4" t="s">
        <v>813</v>
      </c>
    </row>
    <row r="5" spans="1:15">
      <c r="A5" s="4">
        <v>47973</v>
      </c>
      <c r="B5" s="4" t="s">
        <v>9</v>
      </c>
      <c r="C5" s="4" t="s">
        <v>149</v>
      </c>
      <c r="D5" s="4" t="s">
        <v>186</v>
      </c>
      <c r="E5" s="4" t="s">
        <v>434</v>
      </c>
      <c r="F5" s="5" t="str">
        <f>HYPERLINK("https://stat100.ameba.jp/tnk47/ratio20/illustrations/card/ill_47973_nekomimihinotomiko03.jpg", "■")</f>
        <v>■</v>
      </c>
      <c r="G5" s="4" t="s">
        <v>894</v>
      </c>
      <c r="J5" s="4">
        <v>6</v>
      </c>
      <c r="K5" s="4">
        <v>16130</v>
      </c>
      <c r="L5" s="4">
        <v>17784</v>
      </c>
      <c r="M5" s="4" t="s">
        <v>435</v>
      </c>
      <c r="N5" s="4" t="s">
        <v>363</v>
      </c>
    </row>
    <row r="6" spans="1:15">
      <c r="A6" s="4">
        <v>47963</v>
      </c>
      <c r="B6" s="4" t="s">
        <v>9</v>
      </c>
      <c r="C6" s="4" t="s">
        <v>654</v>
      </c>
      <c r="D6" s="4" t="s">
        <v>667</v>
      </c>
      <c r="E6" s="4" t="s">
        <v>752</v>
      </c>
      <c r="F6" s="5" t="str">
        <f>HYPERLINK("https://stat100.ameba.jp/tnk47/ratio20/illustrations/card/ill_47963_nekomimiiisakanotsubone03.jpg", "■")</f>
        <v>■</v>
      </c>
      <c r="G6" s="4" t="s">
        <v>895</v>
      </c>
      <c r="J6" s="4">
        <v>10</v>
      </c>
      <c r="K6" s="4">
        <v>29640</v>
      </c>
      <c r="L6" s="4">
        <v>26884</v>
      </c>
      <c r="M6" s="4" t="s">
        <v>753</v>
      </c>
      <c r="N6" s="4" t="s">
        <v>814</v>
      </c>
    </row>
    <row r="7" spans="1:15">
      <c r="A7" s="4">
        <v>47993</v>
      </c>
      <c r="B7" s="4" t="s">
        <v>10</v>
      </c>
      <c r="C7" s="4" t="s">
        <v>709</v>
      </c>
      <c r="D7" s="4" t="s">
        <v>667</v>
      </c>
      <c r="E7" s="4" t="s">
        <v>757</v>
      </c>
      <c r="F7" s="5" t="str">
        <f>HYPERLINK("https://stat100.ameba.jp/tnk47/ratio20/illustrations/card/ill_47993_nekomimimyokyu03.jpg", "■")</f>
        <v>■</v>
      </c>
      <c r="G7" s="4" t="s">
        <v>896</v>
      </c>
      <c r="J7" s="4">
        <v>9</v>
      </c>
      <c r="K7" s="4">
        <v>15559</v>
      </c>
      <c r="L7" s="4">
        <v>18712</v>
      </c>
      <c r="M7" s="4" t="s">
        <v>758</v>
      </c>
      <c r="N7" s="4" t="s">
        <v>759</v>
      </c>
    </row>
    <row r="8" spans="1:15">
      <c r="A8" s="4">
        <v>47983</v>
      </c>
      <c r="B8" s="4" t="s">
        <v>10</v>
      </c>
      <c r="C8" s="4" t="s">
        <v>645</v>
      </c>
      <c r="D8" s="4" t="s">
        <v>667</v>
      </c>
      <c r="E8" s="4" t="s">
        <v>754</v>
      </c>
      <c r="F8" s="5" t="str">
        <f>HYPERLINK("https://stat100.ameba.jp/tnk47/ratio20/illustrations/card/ill_47983_nekomimiashikagaujihime03.jpg", "■")</f>
        <v>■</v>
      </c>
      <c r="G8" s="4" t="s">
        <v>897</v>
      </c>
      <c r="J8" s="4">
        <v>8</v>
      </c>
      <c r="K8" s="4">
        <v>16633</v>
      </c>
      <c r="L8" s="4">
        <v>13830</v>
      </c>
      <c r="M8" s="4" t="s">
        <v>755</v>
      </c>
      <c r="N8" s="4" t="s">
        <v>756</v>
      </c>
    </row>
    <row r="9" spans="1:15">
      <c r="A9" s="4">
        <v>65833</v>
      </c>
      <c r="B9" s="4" t="s">
        <v>11</v>
      </c>
      <c r="C9" s="4" t="s">
        <v>763</v>
      </c>
      <c r="D9" s="4" t="s">
        <v>697</v>
      </c>
      <c r="E9" s="4" t="s">
        <v>760</v>
      </c>
      <c r="F9" s="5" t="str">
        <f>HYPERLINK("https://stat100.ameba.jp/tnk47/ratio20/illustrations/card/ill_65833_azabunooneko03.jpg", "■")</f>
        <v>■</v>
      </c>
      <c r="G9" s="4" t="s">
        <v>898</v>
      </c>
      <c r="J9" s="4">
        <v>9</v>
      </c>
      <c r="K9" s="4">
        <v>11329</v>
      </c>
      <c r="L9" s="4">
        <v>9514</v>
      </c>
      <c r="M9" s="4" t="s">
        <v>766</v>
      </c>
      <c r="N9" s="4" t="s">
        <v>726</v>
      </c>
    </row>
    <row r="10" spans="1:15">
      <c r="A10" s="4">
        <v>65843</v>
      </c>
      <c r="B10" s="4" t="s">
        <v>11</v>
      </c>
      <c r="C10" s="4" t="s">
        <v>764</v>
      </c>
      <c r="D10" s="4" t="s">
        <v>707</v>
      </c>
      <c r="E10" s="4" t="s">
        <v>761</v>
      </c>
      <c r="F10" s="5" t="str">
        <f>HYPERLINK("https://stat100.ameba.jp/tnk47/ratio20/illustrations/card/ill_65843_kettoshi03.jpg", "■")</f>
        <v>■</v>
      </c>
      <c r="G10" s="4" t="s">
        <v>899</v>
      </c>
      <c r="J10" s="4">
        <v>9</v>
      </c>
      <c r="K10" s="4">
        <v>9514</v>
      </c>
      <c r="L10" s="4">
        <v>11329</v>
      </c>
      <c r="M10" s="4" t="s">
        <v>767</v>
      </c>
      <c r="N10" s="4" t="s">
        <v>768</v>
      </c>
    </row>
    <row r="11" spans="1:15">
      <c r="A11" s="4">
        <v>48003</v>
      </c>
      <c r="B11" s="4" t="s">
        <v>11</v>
      </c>
      <c r="C11" s="4" t="s">
        <v>765</v>
      </c>
      <c r="D11" s="4" t="s">
        <v>667</v>
      </c>
      <c r="E11" s="4" t="s">
        <v>762</v>
      </c>
      <c r="F11" s="5" t="str">
        <f>HYPERLINK("https://stat100.ameba.jp/tnk47/ratio20/illustrations/card/ill_48003_nekomimitamahime03.jpg", "■")</f>
        <v>■</v>
      </c>
      <c r="G11" s="4" t="s">
        <v>900</v>
      </c>
      <c r="J11" s="4">
        <v>6</v>
      </c>
      <c r="K11" s="4">
        <v>7552</v>
      </c>
      <c r="L11" s="4">
        <v>6343</v>
      </c>
      <c r="M11" s="4" t="s">
        <v>769</v>
      </c>
      <c r="N11" s="4" t="s">
        <v>664</v>
      </c>
    </row>
    <row r="13" spans="1:15">
      <c r="A13" s="4" t="s">
        <v>153</v>
      </c>
    </row>
    <row r="14" spans="1:15">
      <c r="A14" s="4">
        <v>50543</v>
      </c>
      <c r="B14" s="4" t="s">
        <v>9</v>
      </c>
      <c r="C14" s="4" t="s">
        <v>151</v>
      </c>
      <c r="D14" s="4" t="s">
        <v>148</v>
      </c>
      <c r="E14" s="4" t="s">
        <v>401</v>
      </c>
      <c r="F14" s="5" t="str">
        <f>HYPERLINK("https://stat100.ameba.jp/tnk47/ratio20/illustrations/card/ill_50543_shinseikushinadahime03.jpg", "■")</f>
        <v>■</v>
      </c>
      <c r="G14" s="4" t="s">
        <v>835</v>
      </c>
      <c r="H14" s="4" t="s">
        <v>412</v>
      </c>
      <c r="I14" s="4" t="s">
        <v>409</v>
      </c>
      <c r="J14" s="4">
        <v>14</v>
      </c>
      <c r="K14" s="4">
        <v>20748</v>
      </c>
      <c r="L14" s="4">
        <v>23044</v>
      </c>
      <c r="M14" s="4" t="s">
        <v>836</v>
      </c>
      <c r="N14" s="4" t="s">
        <v>405</v>
      </c>
      <c r="O14" t="s">
        <v>933</v>
      </c>
    </row>
    <row r="15" spans="1:15">
      <c r="A15" s="4">
        <v>55903</v>
      </c>
      <c r="B15" s="4" t="s">
        <v>9</v>
      </c>
      <c r="C15" s="4" t="s">
        <v>151</v>
      </c>
      <c r="D15" s="4" t="s">
        <v>141</v>
      </c>
      <c r="E15" s="4" t="s">
        <v>402</v>
      </c>
      <c r="F15" s="5" t="str">
        <f>HYPERLINK("https://stat100.ameba.jp/tnk47/ratio20/illustrations/card/ill_55903_shinseishabondama03.jpg", "■")</f>
        <v>■</v>
      </c>
      <c r="G15" s="4" t="s">
        <v>837</v>
      </c>
      <c r="H15" s="4" t="s">
        <v>412</v>
      </c>
      <c r="I15" s="4" t="s">
        <v>400</v>
      </c>
      <c r="J15" s="4">
        <v>14</v>
      </c>
      <c r="K15" s="4">
        <v>23044</v>
      </c>
      <c r="L15" s="4">
        <v>20748</v>
      </c>
      <c r="M15" s="4" t="s">
        <v>838</v>
      </c>
      <c r="N15" s="4" t="s">
        <v>302</v>
      </c>
      <c r="O15" t="s">
        <v>933</v>
      </c>
    </row>
    <row r="16" spans="1:15">
      <c r="A16" s="4">
        <v>61023</v>
      </c>
      <c r="B16" s="4" t="s">
        <v>9</v>
      </c>
      <c r="C16" s="4" t="s">
        <v>145</v>
      </c>
      <c r="D16" s="4" t="s">
        <v>189</v>
      </c>
      <c r="E16" s="4" t="s">
        <v>403</v>
      </c>
      <c r="F16" s="5" t="str">
        <f>HYPERLINK("https://stat100.ameba.jp/tnk47/ratio20/illustrations/card/ill_61023_shinseibarentaimbakedanuki03.jpg", "■")</f>
        <v>■</v>
      </c>
      <c r="G16" s="4" t="s">
        <v>821</v>
      </c>
      <c r="H16" s="4" t="s">
        <v>411</v>
      </c>
      <c r="I16" s="4" t="s">
        <v>977</v>
      </c>
      <c r="J16" s="4">
        <v>14</v>
      </c>
      <c r="K16" s="4">
        <v>20748</v>
      </c>
      <c r="L16" s="4">
        <v>23044</v>
      </c>
      <c r="M16" s="4" t="s">
        <v>839</v>
      </c>
      <c r="N16" s="4" t="s">
        <v>406</v>
      </c>
      <c r="O16" t="s">
        <v>948</v>
      </c>
    </row>
    <row r="17" spans="1:14">
      <c r="A17" s="4">
        <v>44311</v>
      </c>
      <c r="B17" s="4" t="s">
        <v>9</v>
      </c>
      <c r="C17" s="4" t="s">
        <v>145</v>
      </c>
      <c r="D17" s="4" t="s">
        <v>146</v>
      </c>
      <c r="E17" s="4" t="s">
        <v>134</v>
      </c>
      <c r="F17" s="5" t="str">
        <f>HYPERLINK("https://stat100.ameba.jp/tnk47/ratio20/illustrations/card/ill_44311_shinseitoshusaisharaku01.jpg", "■")</f>
        <v>■</v>
      </c>
      <c r="G17" s="4" t="s">
        <v>127</v>
      </c>
      <c r="H17" s="4" t="s">
        <v>412</v>
      </c>
      <c r="I17" s="4" t="s">
        <v>977</v>
      </c>
      <c r="J17" s="4">
        <v>14</v>
      </c>
      <c r="K17" s="4">
        <v>23044</v>
      </c>
      <c r="L17" s="4">
        <v>20748</v>
      </c>
      <c r="M17" s="4" t="s">
        <v>40</v>
      </c>
      <c r="N17" s="4" t="s">
        <v>116</v>
      </c>
    </row>
    <row r="18" spans="1:14">
      <c r="A18" s="4">
        <v>45221</v>
      </c>
      <c r="B18" s="4" t="s">
        <v>9</v>
      </c>
      <c r="C18" s="4" t="s">
        <v>147</v>
      </c>
      <c r="D18" s="4" t="s">
        <v>148</v>
      </c>
      <c r="E18" s="4" t="s">
        <v>135</v>
      </c>
      <c r="F18" s="5" t="str">
        <f>HYPERLINK("https://stat100.ameba.jp/tnk47/ratio20/illustrations/card/ill_45221_shinseiamaterasu01.jpg", "■")</f>
        <v>■</v>
      </c>
      <c r="G18" s="4" t="s">
        <v>128</v>
      </c>
      <c r="H18" s="4" t="s">
        <v>412</v>
      </c>
      <c r="I18" s="4" t="s">
        <v>400</v>
      </c>
      <c r="J18" s="4">
        <v>14</v>
      </c>
      <c r="K18" s="4">
        <v>23044</v>
      </c>
      <c r="L18" s="4">
        <v>20748</v>
      </c>
      <c r="M18" s="4" t="s">
        <v>41</v>
      </c>
      <c r="N18" s="4" t="s">
        <v>117</v>
      </c>
    </row>
    <row r="19" spans="1:14">
      <c r="A19" s="4">
        <v>45311</v>
      </c>
      <c r="B19" s="4" t="s">
        <v>9</v>
      </c>
      <c r="C19" s="4" t="s">
        <v>149</v>
      </c>
      <c r="D19" s="4" t="s">
        <v>150</v>
      </c>
      <c r="E19" s="4" t="s">
        <v>136</v>
      </c>
      <c r="F19" s="5" t="str">
        <f>HYPERLINK("https://stat100.ameba.jp/tnk47/ratio20/illustrations/card/ill_45311_shinseikushikatsuchan01.jpg", "■")</f>
        <v>■</v>
      </c>
      <c r="G19" s="4" t="s">
        <v>31</v>
      </c>
      <c r="H19" s="4" t="s">
        <v>412</v>
      </c>
      <c r="I19" s="4" t="s">
        <v>400</v>
      </c>
      <c r="J19" s="4">
        <v>14</v>
      </c>
      <c r="K19" s="4">
        <v>23044</v>
      </c>
      <c r="L19" s="4">
        <v>20748</v>
      </c>
      <c r="M19" s="4" t="s">
        <v>42</v>
      </c>
      <c r="N19" s="4" t="s">
        <v>118</v>
      </c>
    </row>
    <row r="20" spans="1:14">
      <c r="A20" s="4">
        <v>47291</v>
      </c>
      <c r="B20" s="4" t="s">
        <v>9</v>
      </c>
      <c r="C20" s="4" t="s">
        <v>149</v>
      </c>
      <c r="D20" s="4" t="s">
        <v>141</v>
      </c>
      <c r="E20" s="4" t="s">
        <v>137</v>
      </c>
      <c r="F20" s="5" t="str">
        <f>HYPERLINK("https://stat100.ameba.jp/tnk47/ratio20/illustrations/card/ill_47291_shinseioeyamaonidensetsuminamotonoyorimitsu01.jpg", "■")</f>
        <v>■</v>
      </c>
      <c r="G20" s="4" t="s">
        <v>130</v>
      </c>
      <c r="H20" s="4" t="s">
        <v>412</v>
      </c>
      <c r="I20" s="4" t="s">
        <v>400</v>
      </c>
      <c r="J20" s="4">
        <v>14</v>
      </c>
      <c r="K20" s="4">
        <v>20748</v>
      </c>
      <c r="L20" s="4">
        <v>23044</v>
      </c>
      <c r="M20" s="4" t="s">
        <v>43</v>
      </c>
      <c r="N20" s="4" t="s">
        <v>119</v>
      </c>
    </row>
    <row r="21" spans="1:14">
      <c r="A21" s="4">
        <v>48071</v>
      </c>
      <c r="B21" s="4" t="s">
        <v>9</v>
      </c>
      <c r="C21" s="4" t="s">
        <v>151</v>
      </c>
      <c r="D21" s="4" t="s">
        <v>144</v>
      </c>
      <c r="E21" s="4" t="s">
        <v>138</v>
      </c>
      <c r="F21" s="5" t="str">
        <f>HYPERLINK("https://stat100.ameba.jp/tnk47/ratio20/illustrations/card/ill_48071_shinseiseiyaakarengasokochan01.jpg", "■")</f>
        <v>■</v>
      </c>
      <c r="G21" s="4" t="s">
        <v>131</v>
      </c>
      <c r="H21" s="4" t="s">
        <v>412</v>
      </c>
      <c r="I21" s="4" t="s">
        <v>400</v>
      </c>
      <c r="J21" s="4">
        <v>14</v>
      </c>
      <c r="K21" s="4">
        <v>20748</v>
      </c>
      <c r="L21" s="4">
        <v>23044</v>
      </c>
      <c r="M21" s="4" t="s">
        <v>44</v>
      </c>
      <c r="N21" s="4" t="s">
        <v>120</v>
      </c>
    </row>
    <row r="22" spans="1:14">
      <c r="A22" s="4">
        <v>48511</v>
      </c>
      <c r="B22" s="4" t="s">
        <v>9</v>
      </c>
      <c r="C22" s="4" t="s">
        <v>142</v>
      </c>
      <c r="D22" s="4" t="s">
        <v>143</v>
      </c>
      <c r="E22" s="4" t="s">
        <v>139</v>
      </c>
      <c r="F22" s="5" t="str">
        <f>HYPERLINK("https://stat100.ameba.jp/tnk47/ratio20/illustrations/card/ill_48511_shinseishimaduyoshihiro01.jpg", "■")</f>
        <v>■</v>
      </c>
      <c r="G22" s="4" t="s">
        <v>132</v>
      </c>
      <c r="H22" s="4" t="s">
        <v>412</v>
      </c>
      <c r="I22" s="4" t="s">
        <v>400</v>
      </c>
      <c r="J22" s="4">
        <v>14</v>
      </c>
      <c r="K22" s="4">
        <v>20748</v>
      </c>
      <c r="L22" s="4">
        <v>23044</v>
      </c>
      <c r="M22" s="4" t="s">
        <v>45</v>
      </c>
      <c r="N22" s="4" t="s">
        <v>121</v>
      </c>
    </row>
    <row r="23" spans="1:14">
      <c r="A23" s="4">
        <v>49541</v>
      </c>
      <c r="B23" s="4" t="s">
        <v>9</v>
      </c>
      <c r="C23" s="4" t="s">
        <v>149</v>
      </c>
      <c r="D23" s="4" t="s">
        <v>152</v>
      </c>
      <c r="E23" s="4" t="s">
        <v>140</v>
      </c>
      <c r="F23" s="5" t="str">
        <f>HYPERLINK("https://stat100.ameba.jp/tnk47/ratio20/illustrations/card/ill_49541_shinseishichiseikenshoutokutaishi01.jpg", "■")</f>
        <v>■</v>
      </c>
      <c r="G23" s="4" t="s">
        <v>133</v>
      </c>
      <c r="H23" s="4" t="s">
        <v>412</v>
      </c>
      <c r="I23" s="4" t="s">
        <v>977</v>
      </c>
      <c r="J23" s="4">
        <v>14</v>
      </c>
      <c r="K23" s="4">
        <v>23044</v>
      </c>
      <c r="L23" s="4">
        <v>20748</v>
      </c>
      <c r="M23" s="4" t="s">
        <v>46</v>
      </c>
      <c r="N23" s="4" t="s">
        <v>122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E2A55-B135-493D-8EF2-17E0A501BD65}">
  <dimension ref="A1:O23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4140625" style="4" customWidth="1"/>
    <col min="2" max="2" width="3.9140625" style="4" customWidth="1"/>
    <col min="3" max="3" width="12.25" style="4" customWidth="1"/>
    <col min="4" max="4" width="5.4140625" style="4" customWidth="1"/>
    <col min="5" max="5" width="31" style="4" customWidth="1"/>
    <col min="6" max="6" width="3.9140625" style="4" customWidth="1"/>
    <col min="7" max="7" width="30.9140625" style="4" hidden="1" customWidth="1"/>
    <col min="8" max="8" width="12.9140625" style="4" hidden="1" customWidth="1"/>
    <col min="9" max="9" width="17.33203125" style="4" hidden="1" customWidth="1"/>
    <col min="10" max="10" width="3.75" style="4" customWidth="1"/>
    <col min="11" max="12" width="7.08203125" style="4" customWidth="1"/>
    <col min="13" max="13" width="30.9140625" style="4" hidden="1" customWidth="1"/>
    <col min="14" max="14" width="71" style="4" customWidth="1"/>
    <col min="15" max="15" width="25.9140625" style="4" customWidth="1"/>
    <col min="16" max="16384" width="8.9140625" style="4"/>
  </cols>
  <sheetData>
    <row r="1" spans="1:15" s="1" customFormat="1">
      <c r="A1" s="2" t="s">
        <v>92</v>
      </c>
      <c r="B1" s="2" t="s">
        <v>26</v>
      </c>
      <c r="C1" s="2" t="s">
        <v>19</v>
      </c>
      <c r="D1" s="2" t="s">
        <v>20</v>
      </c>
      <c r="E1" s="2" t="s">
        <v>21</v>
      </c>
      <c r="F1" s="2" t="s">
        <v>93</v>
      </c>
      <c r="G1" s="2" t="s">
        <v>94</v>
      </c>
      <c r="H1" s="3" t="s">
        <v>30</v>
      </c>
      <c r="I1" s="3" t="s">
        <v>22</v>
      </c>
      <c r="J1" s="3" t="s">
        <v>78</v>
      </c>
      <c r="K1" s="3" t="s">
        <v>23</v>
      </c>
      <c r="L1" s="3" t="s">
        <v>24</v>
      </c>
      <c r="M1" s="3" t="s">
        <v>25</v>
      </c>
      <c r="N1" s="3" t="s">
        <v>480</v>
      </c>
      <c r="O1" s="3" t="s">
        <v>936</v>
      </c>
    </row>
    <row r="2" spans="1:15">
      <c r="E2" s="5"/>
      <c r="F2" s="5"/>
    </row>
    <row r="3" spans="1:15">
      <c r="A3" s="4">
        <v>66543</v>
      </c>
      <c r="B3" s="4" t="s">
        <v>95</v>
      </c>
      <c r="C3" s="4" t="s">
        <v>179</v>
      </c>
      <c r="D3" s="4" t="s">
        <v>150</v>
      </c>
      <c r="E3" s="4" t="s">
        <v>471</v>
      </c>
      <c r="F3" s="5" t="str">
        <f>HYPERLINK("https://stat100.ameba.jp/tnk47/ratio20/illustrations/card/ill_66543_kanimeshibentochan03.jpg", "■")</f>
        <v>■</v>
      </c>
      <c r="G3" s="4" t="s">
        <v>901</v>
      </c>
      <c r="J3" s="4">
        <v>10</v>
      </c>
      <c r="K3" s="4">
        <v>47225</v>
      </c>
      <c r="L3" s="4">
        <v>43914</v>
      </c>
      <c r="M3" s="4" t="s">
        <v>472</v>
      </c>
      <c r="N3" s="4" t="s">
        <v>473</v>
      </c>
      <c r="O3" s="4" t="s">
        <v>970</v>
      </c>
    </row>
    <row r="4" spans="1:15">
      <c r="A4" s="4">
        <v>66603</v>
      </c>
      <c r="B4" s="4" t="s">
        <v>9</v>
      </c>
      <c r="C4" s="4" t="s">
        <v>650</v>
      </c>
      <c r="D4" s="4" t="s">
        <v>748</v>
      </c>
      <c r="E4" s="4" t="s">
        <v>770</v>
      </c>
      <c r="F4" s="5" t="str">
        <f>HYPERLINK("https://stat100.ameba.jp/tnk47/ratio20/illustrations/card/ill_66603_makaiikedasen03.jpg", "■")</f>
        <v>■</v>
      </c>
      <c r="G4" s="4" t="s">
        <v>902</v>
      </c>
      <c r="J4" s="4">
        <v>13</v>
      </c>
      <c r="K4" s="4">
        <v>33384</v>
      </c>
      <c r="L4" s="4">
        <v>30283</v>
      </c>
      <c r="M4" s="4" t="s">
        <v>771</v>
      </c>
      <c r="N4" s="4" t="s">
        <v>815</v>
      </c>
    </row>
    <row r="5" spans="1:15">
      <c r="A5" s="4">
        <v>66553</v>
      </c>
      <c r="B5" s="4" t="s">
        <v>9</v>
      </c>
      <c r="C5" s="4" t="s">
        <v>151</v>
      </c>
      <c r="D5" s="4" t="s">
        <v>150</v>
      </c>
      <c r="E5" s="4" t="s">
        <v>431</v>
      </c>
      <c r="F5" s="5" t="str">
        <f>HYPERLINK("https://stat100.ameba.jp/tnk47/ratio20/illustrations/card/ill_66553_inrobentochan03.jpg", "■")</f>
        <v>■</v>
      </c>
      <c r="G5" s="4" t="s">
        <v>903</v>
      </c>
      <c r="J5" s="4">
        <v>6</v>
      </c>
      <c r="K5" s="4">
        <v>16130</v>
      </c>
      <c r="L5" s="4">
        <v>17784</v>
      </c>
      <c r="M5" s="4" t="s">
        <v>432</v>
      </c>
      <c r="N5" s="4" t="s">
        <v>433</v>
      </c>
      <c r="O5" s="4" t="s">
        <v>972</v>
      </c>
    </row>
    <row r="6" spans="1:15">
      <c r="A6" s="4">
        <v>66563</v>
      </c>
      <c r="B6" s="4" t="s">
        <v>9</v>
      </c>
      <c r="C6" s="4" t="s">
        <v>658</v>
      </c>
      <c r="D6" s="4" t="s">
        <v>773</v>
      </c>
      <c r="E6" s="4" t="s">
        <v>772</v>
      </c>
      <c r="F6" s="5" t="str">
        <f>HYPERLINK("https://stat100.ameba.jp/tnk47/ratio20/illustrations/card/ill_66563_kashiwameshibentochan03.jpg", "■")</f>
        <v>■</v>
      </c>
      <c r="G6" s="4" t="s">
        <v>904</v>
      </c>
      <c r="J6" s="4">
        <v>10</v>
      </c>
      <c r="K6" s="4">
        <v>29640</v>
      </c>
      <c r="L6" s="4">
        <v>26884</v>
      </c>
      <c r="M6" s="4" t="s">
        <v>774</v>
      </c>
      <c r="N6" s="4" t="s">
        <v>816</v>
      </c>
    </row>
    <row r="7" spans="1:15">
      <c r="A7" s="4">
        <v>66573</v>
      </c>
      <c r="B7" s="4" t="s">
        <v>10</v>
      </c>
      <c r="C7" s="4" t="s">
        <v>654</v>
      </c>
      <c r="D7" s="4" t="s">
        <v>773</v>
      </c>
      <c r="E7" s="4" t="s">
        <v>775</v>
      </c>
      <c r="F7" s="5" t="str">
        <f>HYPERLINK("https://stat100.ameba.jp/tnk47/ratio20/illustrations/card/ill_66573_korakuakijakechan03.jpg", "■")</f>
        <v>■</v>
      </c>
      <c r="G7" s="4" t="s">
        <v>905</v>
      </c>
      <c r="J7" s="4">
        <v>9</v>
      </c>
      <c r="K7" s="4">
        <v>15559</v>
      </c>
      <c r="L7" s="4">
        <v>18712</v>
      </c>
      <c r="M7" s="4" t="s">
        <v>776</v>
      </c>
      <c r="N7" s="4" t="s">
        <v>777</v>
      </c>
    </row>
    <row r="8" spans="1:15">
      <c r="A8" s="4">
        <v>66583</v>
      </c>
      <c r="B8" s="4" t="s">
        <v>10</v>
      </c>
      <c r="C8" s="4" t="s">
        <v>709</v>
      </c>
      <c r="D8" s="4" t="s">
        <v>773</v>
      </c>
      <c r="E8" s="4" t="s">
        <v>778</v>
      </c>
      <c r="F8" s="5" t="str">
        <f>HYPERLINK("https://stat100.ameba.jp/tnk47/ratio20/illustrations/card/ill_66583_kaniinari03.jpg", "■")</f>
        <v>■</v>
      </c>
      <c r="G8" s="4" t="s">
        <v>906</v>
      </c>
      <c r="J8" s="4">
        <v>8</v>
      </c>
      <c r="K8" s="4">
        <v>16633</v>
      </c>
      <c r="L8" s="4">
        <v>13830</v>
      </c>
      <c r="M8" s="4" t="s">
        <v>779</v>
      </c>
      <c r="N8" s="4" t="s">
        <v>817</v>
      </c>
    </row>
    <row r="9" spans="1:15">
      <c r="A9" s="4">
        <v>66623</v>
      </c>
      <c r="B9" s="4" t="s">
        <v>11</v>
      </c>
      <c r="C9" s="4" t="s">
        <v>654</v>
      </c>
      <c r="D9" s="4" t="s">
        <v>692</v>
      </c>
      <c r="E9" s="4" t="s">
        <v>780</v>
      </c>
      <c r="F9" s="5" t="str">
        <f>HYPERLINK("https://stat100.ameba.jp/tnk47/ratio20/illustrations/card/ill_66623_maoyukiusagichan03.jpg", "■")</f>
        <v>■</v>
      </c>
      <c r="G9" s="4" t="s">
        <v>907</v>
      </c>
      <c r="J9" s="4">
        <v>9</v>
      </c>
      <c r="K9" s="4">
        <v>11329</v>
      </c>
      <c r="L9" s="4">
        <v>9514</v>
      </c>
      <c r="M9" s="4" t="s">
        <v>784</v>
      </c>
      <c r="N9" s="4" t="s">
        <v>785</v>
      </c>
    </row>
    <row r="10" spans="1:15">
      <c r="A10" s="4">
        <v>66633</v>
      </c>
      <c r="B10" s="4" t="s">
        <v>11</v>
      </c>
      <c r="C10" s="4" t="s">
        <v>745</v>
      </c>
      <c r="D10" s="4" t="s">
        <v>646</v>
      </c>
      <c r="E10" s="4" t="s">
        <v>781</v>
      </c>
      <c r="F10" s="5" t="str">
        <f>HYPERLINK("https://stat100.ameba.jp/tnk47/ratio20/illustrations/card/ill_66633_haroinkojoshiragiku03.jpg", "■")</f>
        <v>■</v>
      </c>
      <c r="G10" s="4" t="s">
        <v>908</v>
      </c>
      <c r="J10" s="4">
        <v>9</v>
      </c>
      <c r="K10" s="4">
        <v>9514</v>
      </c>
      <c r="L10" s="4">
        <v>11329</v>
      </c>
      <c r="M10" s="4" t="s">
        <v>786</v>
      </c>
      <c r="N10" s="4" t="s">
        <v>787</v>
      </c>
    </row>
    <row r="11" spans="1:15">
      <c r="A11" s="4">
        <v>66593</v>
      </c>
      <c r="B11" s="4" t="s">
        <v>11</v>
      </c>
      <c r="C11" s="4" t="s">
        <v>783</v>
      </c>
      <c r="D11" s="4" t="s">
        <v>773</v>
      </c>
      <c r="E11" s="4" t="s">
        <v>782</v>
      </c>
      <c r="F11" s="5" t="str">
        <f>HYPERLINK("https://stat100.ameba.jp/tnk47/ratio20/illustrations/card/ill_66593_temmusubentochan03.jpg", "■")</f>
        <v>■</v>
      </c>
      <c r="G11" s="4" t="s">
        <v>909</v>
      </c>
      <c r="J11" s="4">
        <v>6</v>
      </c>
      <c r="K11" s="4">
        <v>6343</v>
      </c>
      <c r="L11" s="4">
        <v>7552</v>
      </c>
      <c r="M11" s="4" t="s">
        <v>788</v>
      </c>
      <c r="N11" s="4" t="s">
        <v>789</v>
      </c>
    </row>
    <row r="13" spans="1:15">
      <c r="A13" s="4" t="s">
        <v>153</v>
      </c>
    </row>
    <row r="14" spans="1:15">
      <c r="A14" s="4">
        <v>50543</v>
      </c>
      <c r="B14" s="4" t="s">
        <v>9</v>
      </c>
      <c r="C14" s="4" t="s">
        <v>151</v>
      </c>
      <c r="D14" s="4" t="s">
        <v>148</v>
      </c>
      <c r="E14" s="4" t="s">
        <v>401</v>
      </c>
      <c r="F14" s="5" t="str">
        <f>HYPERLINK("https://stat100.ameba.jp/tnk47/ratio20/illustrations/card/ill_50543_shinseikushinadahime03.jpg", "■")</f>
        <v>■</v>
      </c>
      <c r="G14" s="4" t="s">
        <v>835</v>
      </c>
      <c r="H14" s="4" t="s">
        <v>407</v>
      </c>
      <c r="I14" s="4" t="s">
        <v>409</v>
      </c>
      <c r="J14" s="4">
        <v>14</v>
      </c>
      <c r="K14" s="4">
        <v>20748</v>
      </c>
      <c r="L14" s="4">
        <v>23044</v>
      </c>
      <c r="M14" s="4" t="s">
        <v>836</v>
      </c>
      <c r="N14" s="4" t="s">
        <v>405</v>
      </c>
      <c r="O14" t="s">
        <v>933</v>
      </c>
    </row>
    <row r="15" spans="1:15">
      <c r="A15" s="4">
        <v>55903</v>
      </c>
      <c r="B15" s="4" t="s">
        <v>9</v>
      </c>
      <c r="C15" s="4" t="s">
        <v>151</v>
      </c>
      <c r="D15" s="4" t="s">
        <v>141</v>
      </c>
      <c r="E15" s="4" t="s">
        <v>402</v>
      </c>
      <c r="F15" s="5" t="str">
        <f>HYPERLINK("https://stat100.ameba.jp/tnk47/ratio20/illustrations/card/ill_55903_shinseishabondama03.jpg", "■")</f>
        <v>■</v>
      </c>
      <c r="G15" s="4" t="s">
        <v>837</v>
      </c>
      <c r="H15" s="4" t="s">
        <v>412</v>
      </c>
      <c r="I15" s="4" t="s">
        <v>400</v>
      </c>
      <c r="J15" s="4">
        <v>14</v>
      </c>
      <c r="K15" s="4">
        <v>23044</v>
      </c>
      <c r="L15" s="4">
        <v>20748</v>
      </c>
      <c r="M15" s="4" t="s">
        <v>838</v>
      </c>
      <c r="N15" s="4" t="s">
        <v>302</v>
      </c>
      <c r="O15" t="s">
        <v>933</v>
      </c>
    </row>
    <row r="16" spans="1:15">
      <c r="A16" s="4">
        <v>61023</v>
      </c>
      <c r="B16" s="4" t="s">
        <v>9</v>
      </c>
      <c r="C16" s="4" t="s">
        <v>145</v>
      </c>
      <c r="D16" s="4" t="s">
        <v>189</v>
      </c>
      <c r="E16" s="4" t="s">
        <v>403</v>
      </c>
      <c r="F16" s="5" t="str">
        <f>HYPERLINK("https://stat100.ameba.jp/tnk47/ratio20/illustrations/card/ill_61023_shinseibarentaimbakedanuki03.jpg", "■")</f>
        <v>■</v>
      </c>
      <c r="G16" s="4" t="s">
        <v>821</v>
      </c>
      <c r="H16" s="4" t="s">
        <v>410</v>
      </c>
      <c r="I16" s="4" t="s">
        <v>977</v>
      </c>
      <c r="J16" s="4">
        <v>14</v>
      </c>
      <c r="K16" s="4">
        <v>20748</v>
      </c>
      <c r="L16" s="4">
        <v>23044</v>
      </c>
      <c r="M16" s="4" t="s">
        <v>839</v>
      </c>
      <c r="N16" s="4" t="s">
        <v>406</v>
      </c>
      <c r="O16" t="s">
        <v>948</v>
      </c>
    </row>
    <row r="17" spans="1:14">
      <c r="A17" s="4">
        <v>44311</v>
      </c>
      <c r="B17" s="4" t="s">
        <v>9</v>
      </c>
      <c r="C17" s="4" t="s">
        <v>145</v>
      </c>
      <c r="D17" s="4" t="s">
        <v>146</v>
      </c>
      <c r="E17" s="4" t="s">
        <v>134</v>
      </c>
      <c r="F17" s="5" t="str">
        <f>HYPERLINK("https://stat100.ameba.jp/tnk47/ratio20/illustrations/card/ill_44311_shinseitoshusaisharaku01.jpg", "■")</f>
        <v>■</v>
      </c>
      <c r="G17" s="4" t="s">
        <v>127</v>
      </c>
      <c r="H17" s="4" t="s">
        <v>412</v>
      </c>
      <c r="I17" s="4" t="s">
        <v>977</v>
      </c>
      <c r="J17" s="4">
        <v>14</v>
      </c>
      <c r="K17" s="4">
        <v>23044</v>
      </c>
      <c r="L17" s="4">
        <v>20748</v>
      </c>
      <c r="M17" s="4" t="s">
        <v>40</v>
      </c>
      <c r="N17" s="4" t="s">
        <v>116</v>
      </c>
    </row>
    <row r="18" spans="1:14">
      <c r="A18" s="4">
        <v>45221</v>
      </c>
      <c r="B18" s="4" t="s">
        <v>9</v>
      </c>
      <c r="C18" s="4" t="s">
        <v>147</v>
      </c>
      <c r="D18" s="4" t="s">
        <v>148</v>
      </c>
      <c r="E18" s="4" t="s">
        <v>135</v>
      </c>
      <c r="F18" s="5" t="str">
        <f>HYPERLINK("https://stat100.ameba.jp/tnk47/ratio20/illustrations/card/ill_45221_shinseiamaterasu01.jpg", "■")</f>
        <v>■</v>
      </c>
      <c r="G18" s="4" t="s">
        <v>128</v>
      </c>
      <c r="H18" s="4" t="s">
        <v>412</v>
      </c>
      <c r="I18" s="4" t="s">
        <v>400</v>
      </c>
      <c r="J18" s="4">
        <v>14</v>
      </c>
      <c r="K18" s="4">
        <v>23044</v>
      </c>
      <c r="L18" s="4">
        <v>20748</v>
      </c>
      <c r="M18" s="4" t="s">
        <v>41</v>
      </c>
      <c r="N18" s="4" t="s">
        <v>117</v>
      </c>
    </row>
    <row r="19" spans="1:14">
      <c r="A19" s="4">
        <v>45311</v>
      </c>
      <c r="B19" s="4" t="s">
        <v>9</v>
      </c>
      <c r="C19" s="4" t="s">
        <v>149</v>
      </c>
      <c r="D19" s="4" t="s">
        <v>150</v>
      </c>
      <c r="E19" s="4" t="s">
        <v>136</v>
      </c>
      <c r="F19" s="5" t="str">
        <f>HYPERLINK("https://stat100.ameba.jp/tnk47/ratio20/illustrations/card/ill_45311_shinseikushikatsuchan01.jpg", "■")</f>
        <v>■</v>
      </c>
      <c r="G19" s="4" t="s">
        <v>129</v>
      </c>
      <c r="H19" s="4" t="s">
        <v>412</v>
      </c>
      <c r="I19" s="4" t="s">
        <v>400</v>
      </c>
      <c r="J19" s="4">
        <v>14</v>
      </c>
      <c r="K19" s="4">
        <v>23044</v>
      </c>
      <c r="L19" s="4">
        <v>20748</v>
      </c>
      <c r="M19" s="4" t="s">
        <v>42</v>
      </c>
      <c r="N19" s="4" t="s">
        <v>118</v>
      </c>
    </row>
    <row r="20" spans="1:14">
      <c r="A20" s="4">
        <v>47291</v>
      </c>
      <c r="B20" s="4" t="s">
        <v>9</v>
      </c>
      <c r="C20" s="4" t="s">
        <v>149</v>
      </c>
      <c r="D20" s="4" t="s">
        <v>141</v>
      </c>
      <c r="E20" s="4" t="s">
        <v>137</v>
      </c>
      <c r="F20" s="5" t="str">
        <f>HYPERLINK("https://stat100.ameba.jp/tnk47/ratio20/illustrations/card/ill_47291_shinseioeyamaonidensetsuminamotonoyorimitsu01.jpg", "■")</f>
        <v>■</v>
      </c>
      <c r="G20" s="4" t="s">
        <v>130</v>
      </c>
      <c r="H20" s="4" t="s">
        <v>412</v>
      </c>
      <c r="I20" s="4" t="s">
        <v>400</v>
      </c>
      <c r="J20" s="4">
        <v>14</v>
      </c>
      <c r="K20" s="4">
        <v>20748</v>
      </c>
      <c r="L20" s="4">
        <v>23044</v>
      </c>
      <c r="M20" s="4" t="s">
        <v>43</v>
      </c>
      <c r="N20" s="4" t="s">
        <v>119</v>
      </c>
    </row>
    <row r="21" spans="1:14">
      <c r="A21" s="4">
        <v>48071</v>
      </c>
      <c r="B21" s="4" t="s">
        <v>9</v>
      </c>
      <c r="C21" s="4" t="s">
        <v>151</v>
      </c>
      <c r="D21" s="4" t="s">
        <v>144</v>
      </c>
      <c r="E21" s="4" t="s">
        <v>138</v>
      </c>
      <c r="F21" s="5" t="str">
        <f>HYPERLINK("https://stat100.ameba.jp/tnk47/ratio20/illustrations/card/ill_48071_shinseiseiyaakarengasokochan01.jpg", "■")</f>
        <v>■</v>
      </c>
      <c r="G21" s="4" t="s">
        <v>131</v>
      </c>
      <c r="H21" s="4" t="s">
        <v>412</v>
      </c>
      <c r="I21" s="4" t="s">
        <v>400</v>
      </c>
      <c r="J21" s="4">
        <v>14</v>
      </c>
      <c r="K21" s="4">
        <v>20748</v>
      </c>
      <c r="L21" s="4">
        <v>23044</v>
      </c>
      <c r="M21" s="4" t="s">
        <v>44</v>
      </c>
      <c r="N21" s="4" t="s">
        <v>120</v>
      </c>
    </row>
    <row r="22" spans="1:14">
      <c r="A22" s="4">
        <v>48511</v>
      </c>
      <c r="B22" s="4" t="s">
        <v>9</v>
      </c>
      <c r="C22" s="4" t="s">
        <v>142</v>
      </c>
      <c r="D22" s="4" t="s">
        <v>143</v>
      </c>
      <c r="E22" s="4" t="s">
        <v>139</v>
      </c>
      <c r="F22" s="5" t="str">
        <f>HYPERLINK("https://stat100.ameba.jp/tnk47/ratio20/illustrations/card/ill_48511_shinseishimaduyoshihiro01.jpg", "■")</f>
        <v>■</v>
      </c>
      <c r="G22" s="4" t="s">
        <v>132</v>
      </c>
      <c r="H22" s="4" t="s">
        <v>412</v>
      </c>
      <c r="I22" s="4" t="s">
        <v>400</v>
      </c>
      <c r="J22" s="4">
        <v>14</v>
      </c>
      <c r="K22" s="4">
        <v>20748</v>
      </c>
      <c r="L22" s="4">
        <v>23044</v>
      </c>
      <c r="M22" s="4" t="s">
        <v>45</v>
      </c>
      <c r="N22" s="4" t="s">
        <v>121</v>
      </c>
    </row>
    <row r="23" spans="1:14">
      <c r="A23" s="4">
        <v>49541</v>
      </c>
      <c r="B23" s="4" t="s">
        <v>9</v>
      </c>
      <c r="C23" s="4" t="s">
        <v>149</v>
      </c>
      <c r="D23" s="4" t="s">
        <v>152</v>
      </c>
      <c r="E23" s="4" t="s">
        <v>140</v>
      </c>
      <c r="F23" s="5" t="str">
        <f>HYPERLINK("https://stat100.ameba.jp/tnk47/ratio20/illustrations/card/ill_49541_shinseishichiseikenshoutokutaishi01.jpg", "■")</f>
        <v>■</v>
      </c>
      <c r="G23" s="4" t="s">
        <v>133</v>
      </c>
      <c r="H23" s="4" t="s">
        <v>412</v>
      </c>
      <c r="I23" s="4" t="s">
        <v>977</v>
      </c>
      <c r="J23" s="4">
        <v>14</v>
      </c>
      <c r="K23" s="4">
        <v>23044</v>
      </c>
      <c r="L23" s="4">
        <v>20748</v>
      </c>
      <c r="M23" s="4" t="s">
        <v>46</v>
      </c>
      <c r="N23" s="4" t="s">
        <v>122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D4381-906D-4F36-B743-BDA0C2237490}">
  <dimension ref="A1:O23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4140625" style="4" customWidth="1"/>
    <col min="2" max="2" width="3.9140625" style="4" customWidth="1"/>
    <col min="3" max="3" width="12.25" style="4" customWidth="1"/>
    <col min="4" max="4" width="5.4140625" style="4" customWidth="1"/>
    <col min="5" max="5" width="31" style="4" customWidth="1"/>
    <col min="6" max="6" width="3.9140625" style="4" customWidth="1"/>
    <col min="7" max="7" width="30.9140625" style="4" hidden="1" customWidth="1"/>
    <col min="8" max="8" width="12.9140625" style="4" hidden="1" customWidth="1"/>
    <col min="9" max="9" width="17.33203125" style="4" hidden="1" customWidth="1"/>
    <col min="10" max="10" width="3.75" style="4" customWidth="1"/>
    <col min="11" max="12" width="7.08203125" style="4" customWidth="1"/>
    <col min="13" max="13" width="30.9140625" style="4" hidden="1" customWidth="1"/>
    <col min="14" max="14" width="71" style="4" customWidth="1"/>
    <col min="15" max="15" width="25.9140625" style="4" customWidth="1"/>
    <col min="16" max="16384" width="8.9140625" style="4"/>
  </cols>
  <sheetData>
    <row r="1" spans="1:15" s="1" customFormat="1">
      <c r="A1" s="2" t="s">
        <v>92</v>
      </c>
      <c r="B1" s="2" t="s">
        <v>26</v>
      </c>
      <c r="C1" s="2" t="s">
        <v>19</v>
      </c>
      <c r="D1" s="2" t="s">
        <v>20</v>
      </c>
      <c r="E1" s="2" t="s">
        <v>21</v>
      </c>
      <c r="F1" s="2" t="s">
        <v>93</v>
      </c>
      <c r="G1" s="2" t="s">
        <v>94</v>
      </c>
      <c r="H1" s="3" t="s">
        <v>30</v>
      </c>
      <c r="I1" s="3" t="s">
        <v>22</v>
      </c>
      <c r="J1" s="3" t="s">
        <v>78</v>
      </c>
      <c r="K1" s="3" t="s">
        <v>23</v>
      </c>
      <c r="L1" s="3" t="s">
        <v>24</v>
      </c>
      <c r="M1" s="3" t="s">
        <v>25</v>
      </c>
      <c r="N1" s="3" t="s">
        <v>480</v>
      </c>
      <c r="O1" s="3" t="s">
        <v>936</v>
      </c>
    </row>
    <row r="2" spans="1:15">
      <c r="E2" s="5"/>
      <c r="F2" s="5"/>
    </row>
    <row r="3" spans="1:15">
      <c r="A3" s="4">
        <v>67283</v>
      </c>
      <c r="B3" s="4" t="s">
        <v>95</v>
      </c>
      <c r="C3" s="4" t="s">
        <v>179</v>
      </c>
      <c r="D3" s="4" t="s">
        <v>144</v>
      </c>
      <c r="E3" s="4" t="s">
        <v>474</v>
      </c>
      <c r="F3" s="5" t="str">
        <f>HYPERLINK("https://stat100.ameba.jp/tnk47/ratio20/illustrations/card/ill_67283_sabarukyatto03.jpg", "■")</f>
        <v>■</v>
      </c>
      <c r="G3" s="4" t="s">
        <v>910</v>
      </c>
      <c r="I3" s="4" t="s">
        <v>965</v>
      </c>
      <c r="J3" s="4">
        <v>10</v>
      </c>
      <c r="K3" s="4" t="s">
        <v>962</v>
      </c>
      <c r="L3" s="4" t="s">
        <v>963</v>
      </c>
      <c r="M3" s="4" t="s">
        <v>475</v>
      </c>
      <c r="N3" s="4" t="s">
        <v>476</v>
      </c>
    </row>
    <row r="4" spans="1:15">
      <c r="A4" s="4">
        <v>67343</v>
      </c>
      <c r="B4" s="4" t="s">
        <v>9</v>
      </c>
      <c r="C4" s="4" t="s">
        <v>645</v>
      </c>
      <c r="D4" s="4" t="s">
        <v>773</v>
      </c>
      <c r="E4" s="4" t="s">
        <v>790</v>
      </c>
      <c r="F4" s="5" t="str">
        <f>HYPERLINK("https://stat100.ameba.jp/tnk47/ratio20/illustrations/card/ill_67343_taishabuchan03.jpg", "■")</f>
        <v>■</v>
      </c>
      <c r="G4" s="4" t="s">
        <v>911</v>
      </c>
      <c r="J4" s="4">
        <v>13</v>
      </c>
      <c r="K4" s="4">
        <v>33384</v>
      </c>
      <c r="L4" s="4">
        <v>30283</v>
      </c>
      <c r="M4" s="4" t="s">
        <v>791</v>
      </c>
      <c r="N4" s="4" t="s">
        <v>818</v>
      </c>
    </row>
    <row r="5" spans="1:15">
      <c r="A5" s="4">
        <v>67293</v>
      </c>
      <c r="B5" s="4" t="s">
        <v>9</v>
      </c>
      <c r="C5" s="4" t="s">
        <v>427</v>
      </c>
      <c r="D5" s="4" t="s">
        <v>144</v>
      </c>
      <c r="E5" s="4" t="s">
        <v>428</v>
      </c>
      <c r="F5" s="5" t="str">
        <f>HYPERLINK("https://stat100.ameba.jp/tnk47/ratio20/illustrations/card/ill_67293_hokkyokuguma03.jpg", "■")</f>
        <v>■</v>
      </c>
      <c r="G5" s="4" t="s">
        <v>912</v>
      </c>
      <c r="J5" s="4">
        <v>6</v>
      </c>
      <c r="K5" s="4">
        <v>17784</v>
      </c>
      <c r="L5" s="4">
        <v>16130</v>
      </c>
      <c r="M5" s="4" t="s">
        <v>429</v>
      </c>
      <c r="N5" s="4" t="s">
        <v>430</v>
      </c>
    </row>
    <row r="6" spans="1:15">
      <c r="A6" s="4">
        <v>67303</v>
      </c>
      <c r="B6" s="4" t="s">
        <v>9</v>
      </c>
      <c r="C6" s="4" t="s">
        <v>713</v>
      </c>
      <c r="D6" s="4" t="s">
        <v>144</v>
      </c>
      <c r="E6" s="4" t="s">
        <v>792</v>
      </c>
      <c r="F6" s="5" t="str">
        <f>HYPERLINK("https://stat100.ameba.jp/tnk47/ratio20/illustrations/card/ill_67303_kobitokaba03.jpg", "■")</f>
        <v>■</v>
      </c>
      <c r="G6" s="4" t="s">
        <v>913</v>
      </c>
      <c r="J6" s="4">
        <v>10</v>
      </c>
      <c r="K6" s="4">
        <v>26884</v>
      </c>
      <c r="L6" s="4">
        <v>29640</v>
      </c>
      <c r="M6" s="4" t="s">
        <v>793</v>
      </c>
      <c r="N6" s="4" t="s">
        <v>819</v>
      </c>
    </row>
    <row r="7" spans="1:15">
      <c r="A7" s="4">
        <v>67313</v>
      </c>
      <c r="B7" s="4" t="s">
        <v>10</v>
      </c>
      <c r="C7" s="4" t="s">
        <v>645</v>
      </c>
      <c r="D7" s="4" t="s">
        <v>144</v>
      </c>
      <c r="E7" s="4" t="s">
        <v>797</v>
      </c>
      <c r="F7" s="5" t="str">
        <f>HYPERLINK("https://stat100.ameba.jp/tnk47/ratio20/illustrations/card/ill_67313_rakko03.jpg", "■")</f>
        <v>■</v>
      </c>
      <c r="G7" s="4" t="s">
        <v>914</v>
      </c>
      <c r="J7" s="4">
        <v>9</v>
      </c>
      <c r="K7" s="4">
        <v>18712</v>
      </c>
      <c r="L7" s="4">
        <v>15559</v>
      </c>
      <c r="M7" s="4" t="s">
        <v>798</v>
      </c>
      <c r="N7" s="4" t="s">
        <v>799</v>
      </c>
    </row>
    <row r="8" spans="1:15">
      <c r="A8" s="4">
        <v>67323</v>
      </c>
      <c r="B8" s="4" t="s">
        <v>10</v>
      </c>
      <c r="C8" s="4" t="s">
        <v>658</v>
      </c>
      <c r="D8" s="4" t="s">
        <v>144</v>
      </c>
      <c r="E8" s="4" t="s">
        <v>794</v>
      </c>
      <c r="F8" s="5" t="str">
        <f>HYPERLINK("https://stat100.ameba.jp/tnk47/ratio20/illustrations/card/ill_67323_amaminokurosagichan03.jpg", "■")</f>
        <v>■</v>
      </c>
      <c r="G8" s="4" t="s">
        <v>915</v>
      </c>
      <c r="J8" s="4">
        <v>8</v>
      </c>
      <c r="K8" s="4">
        <v>13830</v>
      </c>
      <c r="L8" s="4">
        <v>16633</v>
      </c>
      <c r="M8" s="4" t="s">
        <v>795</v>
      </c>
      <c r="N8" s="4" t="s">
        <v>796</v>
      </c>
    </row>
    <row r="9" spans="1:15">
      <c r="A9" s="4">
        <v>67363</v>
      </c>
      <c r="B9" s="4" t="s">
        <v>11</v>
      </c>
      <c r="C9" s="4" t="s">
        <v>803</v>
      </c>
      <c r="D9" s="4" t="s">
        <v>773</v>
      </c>
      <c r="E9" s="4" t="s">
        <v>800</v>
      </c>
      <c r="F9" s="5" t="str">
        <f>HYPERLINK("https://stat100.ameba.jp/tnk47/ratio20/illustrations/card/ill_67363_kitsuneudonchan03.jpg", "■")</f>
        <v>■</v>
      </c>
      <c r="G9" s="4" t="s">
        <v>916</v>
      </c>
      <c r="J9" s="4">
        <v>9</v>
      </c>
      <c r="K9" s="4">
        <v>11329</v>
      </c>
      <c r="L9" s="4">
        <v>9514</v>
      </c>
      <c r="M9" s="4" t="s">
        <v>804</v>
      </c>
      <c r="N9" s="4" t="s">
        <v>807</v>
      </c>
    </row>
    <row r="10" spans="1:15">
      <c r="A10" s="4">
        <v>67373</v>
      </c>
      <c r="B10" s="4" t="s">
        <v>11</v>
      </c>
      <c r="C10" s="4" t="s">
        <v>701</v>
      </c>
      <c r="D10" s="4" t="s">
        <v>748</v>
      </c>
      <c r="E10" s="4" t="s">
        <v>801</v>
      </c>
      <c r="F10" s="5" t="str">
        <f>HYPERLINK("https://stat100.ameba.jp/tnk47/ratio20/illustrations/card/ill_67373_okumurasakonta03.jpg", "■")</f>
        <v>■</v>
      </c>
      <c r="G10" s="4" t="s">
        <v>917</v>
      </c>
      <c r="J10" s="4">
        <v>9</v>
      </c>
      <c r="K10" s="4">
        <v>9514</v>
      </c>
      <c r="L10" s="4">
        <v>11329</v>
      </c>
      <c r="M10" s="4" t="s">
        <v>805</v>
      </c>
      <c r="N10" s="4" t="s">
        <v>787</v>
      </c>
    </row>
    <row r="11" spans="1:15">
      <c r="A11" s="4">
        <v>67333</v>
      </c>
      <c r="B11" s="4" t="s">
        <v>11</v>
      </c>
      <c r="C11" s="4" t="s">
        <v>783</v>
      </c>
      <c r="D11" s="4" t="s">
        <v>144</v>
      </c>
      <c r="E11" s="4" t="s">
        <v>802</v>
      </c>
      <c r="F11" s="5" t="str">
        <f>HYPERLINK("https://stat100.ameba.jp/tnk47/ratio20/illustrations/card/ill_67333_medaka03.jpg", "■")</f>
        <v>■</v>
      </c>
      <c r="G11" s="4" t="s">
        <v>918</v>
      </c>
      <c r="J11" s="4">
        <v>6</v>
      </c>
      <c r="K11" s="4">
        <v>7552</v>
      </c>
      <c r="L11" s="4">
        <v>6343</v>
      </c>
      <c r="M11" s="4" t="s">
        <v>806</v>
      </c>
      <c r="N11" s="4" t="s">
        <v>806</v>
      </c>
    </row>
    <row r="13" spans="1:15">
      <c r="A13" s="4" t="s">
        <v>153</v>
      </c>
    </row>
    <row r="14" spans="1:15">
      <c r="A14" s="4">
        <v>50543</v>
      </c>
      <c r="B14" s="4" t="s">
        <v>9</v>
      </c>
      <c r="C14" s="4" t="s">
        <v>151</v>
      </c>
      <c r="D14" s="4" t="s">
        <v>148</v>
      </c>
      <c r="E14" s="4" t="s">
        <v>401</v>
      </c>
      <c r="F14" s="5" t="str">
        <f>HYPERLINK("https://stat100.ameba.jp/tnk47/ratio20/illustrations/card/ill_50543_shinseikushinadahime03.jpg", "■")</f>
        <v>■</v>
      </c>
      <c r="G14" s="4" t="s">
        <v>835</v>
      </c>
      <c r="H14" s="4" t="s">
        <v>407</v>
      </c>
      <c r="I14" s="4" t="s">
        <v>409</v>
      </c>
      <c r="J14" s="4">
        <v>14</v>
      </c>
      <c r="K14" s="4">
        <v>20748</v>
      </c>
      <c r="L14" s="4">
        <v>23044</v>
      </c>
      <c r="M14" s="4" t="s">
        <v>836</v>
      </c>
      <c r="N14" s="4" t="s">
        <v>405</v>
      </c>
      <c r="O14" t="s">
        <v>933</v>
      </c>
    </row>
    <row r="15" spans="1:15">
      <c r="A15" s="4">
        <v>55903</v>
      </c>
      <c r="B15" s="4" t="s">
        <v>9</v>
      </c>
      <c r="C15" s="4" t="s">
        <v>151</v>
      </c>
      <c r="D15" s="4" t="s">
        <v>141</v>
      </c>
      <c r="E15" s="4" t="s">
        <v>402</v>
      </c>
      <c r="F15" s="5" t="str">
        <f>HYPERLINK("https://stat100.ameba.jp/tnk47/ratio20/illustrations/card/ill_55903_shinseishabondama03.jpg", "■")</f>
        <v>■</v>
      </c>
      <c r="G15" s="4" t="s">
        <v>837</v>
      </c>
      <c r="H15" s="4" t="s">
        <v>412</v>
      </c>
      <c r="I15" s="4" t="s">
        <v>400</v>
      </c>
      <c r="J15" s="4">
        <v>14</v>
      </c>
      <c r="K15" s="4">
        <v>23044</v>
      </c>
      <c r="L15" s="4">
        <v>20748</v>
      </c>
      <c r="M15" s="4" t="s">
        <v>838</v>
      </c>
      <c r="N15" s="4" t="s">
        <v>302</v>
      </c>
      <c r="O15" t="s">
        <v>933</v>
      </c>
    </row>
    <row r="16" spans="1:15">
      <c r="A16" s="4">
        <v>61023</v>
      </c>
      <c r="B16" s="4" t="s">
        <v>9</v>
      </c>
      <c r="C16" s="4" t="s">
        <v>145</v>
      </c>
      <c r="D16" s="4" t="s">
        <v>189</v>
      </c>
      <c r="E16" s="4" t="s">
        <v>403</v>
      </c>
      <c r="F16" s="5" t="str">
        <f>HYPERLINK("https://stat100.ameba.jp/tnk47/ratio20/illustrations/card/ill_61023_shinseibarentaimbakedanuki03.jpg", "■")</f>
        <v>■</v>
      </c>
      <c r="G16" s="4" t="s">
        <v>821</v>
      </c>
      <c r="H16" s="4" t="s">
        <v>408</v>
      </c>
      <c r="I16" s="4" t="s">
        <v>978</v>
      </c>
      <c r="J16" s="4">
        <v>14</v>
      </c>
      <c r="K16" s="4">
        <v>20748</v>
      </c>
      <c r="L16" s="4">
        <v>23044</v>
      </c>
      <c r="M16" s="4" t="s">
        <v>839</v>
      </c>
      <c r="N16" s="4" t="s">
        <v>406</v>
      </c>
      <c r="O16" t="s">
        <v>948</v>
      </c>
    </row>
    <row r="17" spans="1:14">
      <c r="A17" s="4">
        <v>44311</v>
      </c>
      <c r="B17" s="4" t="s">
        <v>9</v>
      </c>
      <c r="C17" s="4" t="s">
        <v>145</v>
      </c>
      <c r="D17" s="4" t="s">
        <v>146</v>
      </c>
      <c r="E17" s="4" t="s">
        <v>134</v>
      </c>
      <c r="F17" s="5" t="str">
        <f>HYPERLINK("https://stat100.ameba.jp/tnk47/ratio20/illustrations/card/ill_44311_shinseitoshusaisharaku01.jpg", "■")</f>
        <v>■</v>
      </c>
      <c r="G17" s="4" t="s">
        <v>127</v>
      </c>
      <c r="H17" s="4" t="s">
        <v>412</v>
      </c>
      <c r="I17" s="4" t="s">
        <v>977</v>
      </c>
      <c r="J17" s="4">
        <v>14</v>
      </c>
      <c r="K17" s="4">
        <v>23044</v>
      </c>
      <c r="L17" s="4">
        <v>20748</v>
      </c>
      <c r="M17" s="4" t="s">
        <v>40</v>
      </c>
      <c r="N17" s="4" t="s">
        <v>116</v>
      </c>
    </row>
    <row r="18" spans="1:14">
      <c r="A18" s="4">
        <v>45221</v>
      </c>
      <c r="B18" s="4" t="s">
        <v>9</v>
      </c>
      <c r="C18" s="4" t="s">
        <v>147</v>
      </c>
      <c r="D18" s="4" t="s">
        <v>148</v>
      </c>
      <c r="E18" s="4" t="s">
        <v>135</v>
      </c>
      <c r="F18" s="5" t="str">
        <f>HYPERLINK("https://stat100.ameba.jp/tnk47/ratio20/illustrations/card/ill_45221_shinseiamaterasu01.jpg", "■")</f>
        <v>■</v>
      </c>
      <c r="G18" s="4" t="s">
        <v>128</v>
      </c>
      <c r="H18" s="4" t="s">
        <v>412</v>
      </c>
      <c r="I18" s="4" t="s">
        <v>400</v>
      </c>
      <c r="J18" s="4">
        <v>14</v>
      </c>
      <c r="K18" s="4">
        <v>23044</v>
      </c>
      <c r="L18" s="4">
        <v>20748</v>
      </c>
      <c r="M18" s="4" t="s">
        <v>41</v>
      </c>
      <c r="N18" s="4" t="s">
        <v>117</v>
      </c>
    </row>
    <row r="19" spans="1:14">
      <c r="A19" s="4">
        <v>45311</v>
      </c>
      <c r="B19" s="4" t="s">
        <v>9</v>
      </c>
      <c r="C19" s="4" t="s">
        <v>149</v>
      </c>
      <c r="D19" s="4" t="s">
        <v>150</v>
      </c>
      <c r="E19" s="4" t="s">
        <v>136</v>
      </c>
      <c r="F19" s="5" t="str">
        <f>HYPERLINK("https://stat100.ameba.jp/tnk47/ratio20/illustrations/card/ill_45311_shinseikushikatsuchan01.jpg", "■")</f>
        <v>■</v>
      </c>
      <c r="G19" s="4" t="s">
        <v>129</v>
      </c>
      <c r="H19" s="4" t="s">
        <v>412</v>
      </c>
      <c r="I19" s="4" t="s">
        <v>400</v>
      </c>
      <c r="J19" s="4">
        <v>14</v>
      </c>
      <c r="K19" s="4">
        <v>23044</v>
      </c>
      <c r="L19" s="4">
        <v>20748</v>
      </c>
      <c r="M19" s="4" t="s">
        <v>42</v>
      </c>
      <c r="N19" s="4" t="s">
        <v>118</v>
      </c>
    </row>
    <row r="20" spans="1:14">
      <c r="A20" s="4">
        <v>47291</v>
      </c>
      <c r="B20" s="4" t="s">
        <v>9</v>
      </c>
      <c r="C20" s="4" t="s">
        <v>149</v>
      </c>
      <c r="D20" s="4" t="s">
        <v>141</v>
      </c>
      <c r="E20" s="4" t="s">
        <v>137</v>
      </c>
      <c r="F20" s="5" t="str">
        <f>HYPERLINK("https://stat100.ameba.jp/tnk47/ratio20/illustrations/card/ill_47291_shinseioeyamaonidensetsuminamotonoyorimitsu01.jpg", "■")</f>
        <v>■</v>
      </c>
      <c r="G20" s="4" t="s">
        <v>130</v>
      </c>
      <c r="H20" s="4" t="s">
        <v>412</v>
      </c>
      <c r="I20" s="4" t="s">
        <v>400</v>
      </c>
      <c r="J20" s="4">
        <v>14</v>
      </c>
      <c r="K20" s="4">
        <v>20748</v>
      </c>
      <c r="L20" s="4">
        <v>23044</v>
      </c>
      <c r="M20" s="4" t="s">
        <v>43</v>
      </c>
      <c r="N20" s="4" t="s">
        <v>119</v>
      </c>
    </row>
    <row r="21" spans="1:14">
      <c r="A21" s="4">
        <v>48071</v>
      </c>
      <c r="B21" s="4" t="s">
        <v>9</v>
      </c>
      <c r="C21" s="4" t="s">
        <v>151</v>
      </c>
      <c r="D21" s="4" t="s">
        <v>144</v>
      </c>
      <c r="E21" s="4" t="s">
        <v>138</v>
      </c>
      <c r="F21" s="5" t="str">
        <f>HYPERLINK("https://stat100.ameba.jp/tnk47/ratio20/illustrations/card/ill_48071_shinseiseiyaakarengasokochan01.jpg", "■")</f>
        <v>■</v>
      </c>
      <c r="G21" s="4" t="s">
        <v>131</v>
      </c>
      <c r="H21" s="4" t="s">
        <v>412</v>
      </c>
      <c r="I21" s="4" t="s">
        <v>400</v>
      </c>
      <c r="J21" s="4">
        <v>14</v>
      </c>
      <c r="K21" s="4">
        <v>20748</v>
      </c>
      <c r="L21" s="4">
        <v>23044</v>
      </c>
      <c r="M21" s="4" t="s">
        <v>44</v>
      </c>
      <c r="N21" s="4" t="s">
        <v>120</v>
      </c>
    </row>
    <row r="22" spans="1:14">
      <c r="A22" s="4">
        <v>48511</v>
      </c>
      <c r="B22" s="4" t="s">
        <v>9</v>
      </c>
      <c r="C22" s="4" t="s">
        <v>142</v>
      </c>
      <c r="D22" s="4" t="s">
        <v>143</v>
      </c>
      <c r="E22" s="4" t="s">
        <v>139</v>
      </c>
      <c r="F22" s="5" t="str">
        <f>HYPERLINK("https://stat100.ameba.jp/tnk47/ratio20/illustrations/card/ill_48511_shinseishimaduyoshihiro01.jpg", "■")</f>
        <v>■</v>
      </c>
      <c r="G22" s="4" t="s">
        <v>132</v>
      </c>
      <c r="H22" s="4" t="s">
        <v>412</v>
      </c>
      <c r="I22" s="4" t="s">
        <v>400</v>
      </c>
      <c r="J22" s="4">
        <v>14</v>
      </c>
      <c r="K22" s="4">
        <v>20748</v>
      </c>
      <c r="L22" s="4">
        <v>23044</v>
      </c>
      <c r="M22" s="4" t="s">
        <v>45</v>
      </c>
      <c r="N22" s="4" t="s">
        <v>121</v>
      </c>
    </row>
    <row r="23" spans="1:14">
      <c r="A23" s="4">
        <v>49541</v>
      </c>
      <c r="B23" s="4" t="s">
        <v>9</v>
      </c>
      <c r="C23" s="4" t="s">
        <v>149</v>
      </c>
      <c r="D23" s="4" t="s">
        <v>152</v>
      </c>
      <c r="E23" s="4" t="s">
        <v>140</v>
      </c>
      <c r="F23" s="5" t="str">
        <f>HYPERLINK("https://stat100.ameba.jp/tnk47/ratio20/illustrations/card/ill_49541_shinseishichiseikenshoutokutaishi01.jpg", "■")</f>
        <v>■</v>
      </c>
      <c r="G23" s="4" t="s">
        <v>133</v>
      </c>
      <c r="H23" s="4" t="s">
        <v>412</v>
      </c>
      <c r="I23" s="4" t="s">
        <v>977</v>
      </c>
      <c r="J23" s="4">
        <v>14</v>
      </c>
      <c r="K23" s="4">
        <v>23044</v>
      </c>
      <c r="L23" s="4">
        <v>20748</v>
      </c>
      <c r="M23" s="4" t="s">
        <v>46</v>
      </c>
      <c r="N23" s="4" t="s">
        <v>122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0FE4F-DD25-47DA-B5DC-06D41E0F6908}">
  <dimension ref="A1:O23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4140625" style="4" customWidth="1"/>
    <col min="2" max="2" width="3.9140625" style="4" customWidth="1"/>
    <col min="3" max="3" width="12.25" style="4" customWidth="1"/>
    <col min="4" max="4" width="5.4140625" style="4" customWidth="1"/>
    <col min="5" max="5" width="31" style="4" customWidth="1"/>
    <col min="6" max="6" width="3.9140625" style="4" customWidth="1"/>
    <col min="7" max="7" width="30.9140625" style="4" hidden="1" customWidth="1"/>
    <col min="8" max="8" width="12.9140625" style="4" hidden="1" customWidth="1"/>
    <col min="9" max="9" width="17.33203125" style="4" hidden="1" customWidth="1"/>
    <col min="10" max="10" width="3.75" style="4" customWidth="1"/>
    <col min="11" max="12" width="7.08203125" style="4" customWidth="1"/>
    <col min="13" max="13" width="30.9140625" style="4" hidden="1" customWidth="1"/>
    <col min="14" max="14" width="71" style="4" customWidth="1"/>
    <col min="15" max="15" width="25.9140625" style="4" customWidth="1"/>
    <col min="16" max="16384" width="8.9140625" style="4"/>
  </cols>
  <sheetData>
    <row r="1" spans="1:15" s="1" customFormat="1">
      <c r="A1" s="2" t="s">
        <v>92</v>
      </c>
      <c r="B1" s="2" t="s">
        <v>26</v>
      </c>
      <c r="C1" s="2" t="s">
        <v>19</v>
      </c>
      <c r="D1" s="2" t="s">
        <v>20</v>
      </c>
      <c r="E1" s="2" t="s">
        <v>21</v>
      </c>
      <c r="F1" s="2" t="s">
        <v>93</v>
      </c>
      <c r="G1" s="2" t="s">
        <v>94</v>
      </c>
      <c r="H1" s="3" t="s">
        <v>30</v>
      </c>
      <c r="I1" s="3" t="s">
        <v>22</v>
      </c>
      <c r="J1" s="3" t="s">
        <v>78</v>
      </c>
      <c r="K1" s="3" t="s">
        <v>23</v>
      </c>
      <c r="L1" s="3" t="s">
        <v>24</v>
      </c>
      <c r="M1" s="3" t="s">
        <v>25</v>
      </c>
      <c r="N1" s="3" t="s">
        <v>480</v>
      </c>
      <c r="O1" s="3" t="s">
        <v>936</v>
      </c>
    </row>
    <row r="2" spans="1:15">
      <c r="E2" s="5"/>
      <c r="F2" s="5"/>
    </row>
    <row r="3" spans="1:15">
      <c r="A3" s="4">
        <v>68143</v>
      </c>
      <c r="B3" s="4" t="s">
        <v>95</v>
      </c>
      <c r="C3" s="4" t="s">
        <v>317</v>
      </c>
      <c r="D3" s="4" t="s">
        <v>148</v>
      </c>
      <c r="E3" s="4" t="s">
        <v>477</v>
      </c>
      <c r="F3" s="5" t="str">
        <f>HYPERLINK("https://stat100.ameba.jp/tnk47/ratio20/illustrations/card/ill_68143_kuwagamiajisukitakahikone03.jpg", "■")</f>
        <v>■</v>
      </c>
      <c r="G3" s="4" t="s">
        <v>919</v>
      </c>
      <c r="J3" s="4">
        <v>10</v>
      </c>
      <c r="K3" s="4">
        <v>40789</v>
      </c>
      <c r="L3" s="4">
        <v>37921</v>
      </c>
      <c r="M3" s="4" t="s">
        <v>478</v>
      </c>
      <c r="N3" s="4" t="s">
        <v>479</v>
      </c>
      <c r="O3" s="4" t="s">
        <v>969</v>
      </c>
    </row>
    <row r="4" spans="1:15">
      <c r="A4" s="4">
        <v>68203</v>
      </c>
      <c r="B4" s="4" t="s">
        <v>9</v>
      </c>
      <c r="C4" s="4" t="s">
        <v>483</v>
      </c>
      <c r="D4" s="4" t="s">
        <v>482</v>
      </c>
      <c r="E4" s="4" t="s">
        <v>481</v>
      </c>
      <c r="F4" s="5" t="str">
        <f>HYPERLINK("https://stat100.ameba.jp/tnk47/ratio20/illustrations/card/ill_68203_shogummawarihojomasako03.jpg", "■")</f>
        <v>■</v>
      </c>
      <c r="G4" s="4" t="s">
        <v>920</v>
      </c>
      <c r="J4" s="4">
        <v>13</v>
      </c>
      <c r="K4" s="4">
        <v>33384</v>
      </c>
      <c r="L4" s="4">
        <v>30283</v>
      </c>
      <c r="M4" s="4" t="s">
        <v>484</v>
      </c>
      <c r="N4" s="4" t="s">
        <v>509</v>
      </c>
    </row>
    <row r="5" spans="1:15">
      <c r="A5" s="4">
        <v>68163</v>
      </c>
      <c r="B5" s="4" t="s">
        <v>9</v>
      </c>
      <c r="C5" s="4" t="s">
        <v>423</v>
      </c>
      <c r="D5" s="4" t="s">
        <v>148</v>
      </c>
      <c r="E5" s="4" t="s">
        <v>424</v>
      </c>
      <c r="F5" s="5" t="str">
        <f>HYPERLINK("https://stat100.ameba.jp/tnk47/ratio20/illustrations/card/ill_68163_ishikoridome03.jpg", "■")</f>
        <v>■</v>
      </c>
      <c r="G5" s="4" t="s">
        <v>921</v>
      </c>
      <c r="J5" s="4">
        <v>6</v>
      </c>
      <c r="K5" s="4">
        <v>16130</v>
      </c>
      <c r="L5" s="4">
        <v>17784</v>
      </c>
      <c r="M5" s="4" t="s">
        <v>426</v>
      </c>
      <c r="N5" s="4" t="s">
        <v>425</v>
      </c>
    </row>
    <row r="6" spans="1:15">
      <c r="A6" s="4">
        <v>68153</v>
      </c>
      <c r="B6" s="4" t="s">
        <v>9</v>
      </c>
      <c r="C6" s="4" t="s">
        <v>483</v>
      </c>
      <c r="D6" s="4" t="s">
        <v>148</v>
      </c>
      <c r="E6" s="4" t="s">
        <v>485</v>
      </c>
      <c r="F6" s="5" t="str">
        <f>HYPERLINK("https://stat100.ameba.jp/tnk47/ratio20/illustrations/card/ill_68153_amenofutodamanomikoto03.jpg", "■")</f>
        <v>■</v>
      </c>
      <c r="G6" s="4" t="s">
        <v>922</v>
      </c>
      <c r="J6" s="4">
        <v>10</v>
      </c>
      <c r="K6" s="4">
        <v>29640</v>
      </c>
      <c r="L6" s="4">
        <v>26884</v>
      </c>
      <c r="M6" s="4" t="s">
        <v>486</v>
      </c>
      <c r="N6" s="4" t="s">
        <v>510</v>
      </c>
    </row>
    <row r="7" spans="1:15">
      <c r="A7" s="4">
        <v>68173</v>
      </c>
      <c r="B7" s="4" t="s">
        <v>10</v>
      </c>
      <c r="C7" s="4" t="s">
        <v>493</v>
      </c>
      <c r="D7" s="4" t="s">
        <v>489</v>
      </c>
      <c r="E7" s="4" t="s">
        <v>492</v>
      </c>
      <c r="F7" s="5" t="str">
        <f>HYPERLINK("https://stat100.ameba.jp/tnk47/ratio20/illustrations/card/ill_68173_amorounagu03.jpg", "■")</f>
        <v>■</v>
      </c>
      <c r="G7" s="4" t="s">
        <v>923</v>
      </c>
      <c r="J7" s="4">
        <v>9</v>
      </c>
      <c r="K7" s="4">
        <v>15559</v>
      </c>
      <c r="L7" s="4">
        <v>18712</v>
      </c>
      <c r="M7" s="4" t="s">
        <v>494</v>
      </c>
      <c r="N7" s="4" t="s">
        <v>511</v>
      </c>
    </row>
    <row r="8" spans="1:15">
      <c r="A8" s="4">
        <v>68183</v>
      </c>
      <c r="B8" s="4" t="s">
        <v>10</v>
      </c>
      <c r="C8" s="4" t="s">
        <v>488</v>
      </c>
      <c r="D8" s="4" t="s">
        <v>489</v>
      </c>
      <c r="E8" s="4" t="s">
        <v>487</v>
      </c>
      <c r="F8" s="5" t="str">
        <f>HYPERLINK("https://stat100.ameba.jp/tnk47/ratio20/illustrations/card/ill_68183_hojokikurihime03.jpg", "■")</f>
        <v>■</v>
      </c>
      <c r="G8" s="4" t="s">
        <v>924</v>
      </c>
      <c r="J8" s="4">
        <v>8</v>
      </c>
      <c r="K8" s="4">
        <v>16633</v>
      </c>
      <c r="L8" s="4">
        <v>13830</v>
      </c>
      <c r="M8" s="4" t="s">
        <v>490</v>
      </c>
      <c r="N8" s="4" t="s">
        <v>491</v>
      </c>
    </row>
    <row r="9" spans="1:15">
      <c r="A9" s="4">
        <v>68223</v>
      </c>
      <c r="B9" s="4" t="s">
        <v>11</v>
      </c>
      <c r="C9" s="4" t="s">
        <v>497</v>
      </c>
      <c r="D9" s="4" t="s">
        <v>496</v>
      </c>
      <c r="E9" s="4" t="s">
        <v>495</v>
      </c>
      <c r="F9" s="5" t="str">
        <f>HYPERLINK("https://stat100.ameba.jp/tnk47/ratio20/illustrations/card/ill_68223_horikoshijiro03.jpg", "■")</f>
        <v>■</v>
      </c>
      <c r="G9" s="4" t="s">
        <v>925</v>
      </c>
      <c r="J9" s="4">
        <v>9</v>
      </c>
      <c r="K9" s="4">
        <v>9514</v>
      </c>
      <c r="L9" s="4">
        <v>11329</v>
      </c>
      <c r="M9" s="4" t="s">
        <v>498</v>
      </c>
      <c r="N9" s="4" t="s">
        <v>499</v>
      </c>
    </row>
    <row r="10" spans="1:15">
      <c r="A10" s="4">
        <v>68233</v>
      </c>
      <c r="B10" s="4" t="s">
        <v>11</v>
      </c>
      <c r="C10" s="4" t="s">
        <v>501</v>
      </c>
      <c r="D10" s="4" t="s">
        <v>502</v>
      </c>
      <c r="E10" s="4" t="s">
        <v>500</v>
      </c>
      <c r="F10" s="5" t="str">
        <f>HYPERLINK("https://stat100.ameba.jp/tnk47/ratio20/illustrations/card/ill_68233_meisen03.jpg", "■")</f>
        <v>■</v>
      </c>
      <c r="G10" s="4" t="s">
        <v>926</v>
      </c>
      <c r="J10" s="4">
        <v>9</v>
      </c>
      <c r="K10" s="4">
        <v>11329</v>
      </c>
      <c r="L10" s="4">
        <v>9514</v>
      </c>
      <c r="M10" s="4" t="s">
        <v>503</v>
      </c>
      <c r="N10" s="4" t="s">
        <v>504</v>
      </c>
    </row>
    <row r="11" spans="1:15">
      <c r="A11" s="4">
        <v>68193</v>
      </c>
      <c r="B11" s="4" t="s">
        <v>11</v>
      </c>
      <c r="C11" s="4" t="s">
        <v>506</v>
      </c>
      <c r="D11" s="4" t="s">
        <v>489</v>
      </c>
      <c r="E11" s="4" t="s">
        <v>505</v>
      </c>
      <c r="F11" s="5" t="str">
        <f>HYPERLINK("https://stat100.ameba.jp/tnk47/ratio20/illustrations/card/ill_68193_tenso03.jpg", "■")</f>
        <v>■</v>
      </c>
      <c r="G11" s="4" t="s">
        <v>927</v>
      </c>
      <c r="J11" s="4">
        <v>6</v>
      </c>
      <c r="K11" s="4">
        <v>6343</v>
      </c>
      <c r="L11" s="4">
        <v>7552</v>
      </c>
      <c r="M11" s="4" t="s">
        <v>507</v>
      </c>
      <c r="N11" s="4" t="s">
        <v>508</v>
      </c>
    </row>
    <row r="13" spans="1:15">
      <c r="A13" s="4" t="s">
        <v>153</v>
      </c>
    </row>
    <row r="14" spans="1:15">
      <c r="A14" s="4">
        <v>50543</v>
      </c>
      <c r="B14" s="4" t="s">
        <v>9</v>
      </c>
      <c r="C14" s="4" t="s">
        <v>151</v>
      </c>
      <c r="D14" s="4" t="s">
        <v>148</v>
      </c>
      <c r="E14" s="4" t="s">
        <v>945</v>
      </c>
      <c r="F14" s="5" t="str">
        <f>HYPERLINK("https://stat100.ameba.jp/tnk47/ratio20/illustrations/card/ill_50543_shinseikushinadahime03.jpg", "■")</f>
        <v>■</v>
      </c>
      <c r="G14" s="4" t="s">
        <v>835</v>
      </c>
      <c r="H14" s="4" t="s">
        <v>404</v>
      </c>
      <c r="I14" s="4" t="s">
        <v>85</v>
      </c>
      <c r="J14" s="4">
        <v>14</v>
      </c>
      <c r="K14" s="4">
        <v>20748</v>
      </c>
      <c r="L14" s="4">
        <v>23044</v>
      </c>
      <c r="M14" s="4" t="s">
        <v>836</v>
      </c>
      <c r="N14" s="4" t="s">
        <v>405</v>
      </c>
      <c r="O14" t="s">
        <v>933</v>
      </c>
    </row>
    <row r="15" spans="1:15">
      <c r="A15" s="4">
        <v>55903</v>
      </c>
      <c r="B15" s="4" t="s">
        <v>9</v>
      </c>
      <c r="C15" s="4" t="s">
        <v>151</v>
      </c>
      <c r="D15" s="4" t="s">
        <v>141</v>
      </c>
      <c r="E15" s="4" t="s">
        <v>946</v>
      </c>
      <c r="F15" s="5" t="str">
        <f>HYPERLINK("https://stat100.ameba.jp/tnk47/ratio20/illustrations/card/ill_55903_shinseishabondama03.jpg", "■")</f>
        <v>■</v>
      </c>
      <c r="G15" s="4" t="s">
        <v>837</v>
      </c>
      <c r="H15" s="4" t="s">
        <v>412</v>
      </c>
      <c r="I15" s="4" t="s">
        <v>400</v>
      </c>
      <c r="J15" s="4">
        <v>14</v>
      </c>
      <c r="K15" s="4">
        <v>23044</v>
      </c>
      <c r="L15" s="4">
        <v>20748</v>
      </c>
      <c r="M15" s="4" t="s">
        <v>838</v>
      </c>
      <c r="N15" s="4" t="s">
        <v>302</v>
      </c>
      <c r="O15" t="s">
        <v>933</v>
      </c>
    </row>
    <row r="16" spans="1:15">
      <c r="A16" s="4">
        <v>61023</v>
      </c>
      <c r="B16" s="4" t="s">
        <v>9</v>
      </c>
      <c r="C16" s="4" t="s">
        <v>145</v>
      </c>
      <c r="D16" s="4" t="s">
        <v>189</v>
      </c>
      <c r="E16" s="4" t="s">
        <v>947</v>
      </c>
      <c r="F16" s="5" t="str">
        <f>HYPERLINK("https://stat100.ameba.jp/tnk47/ratio20/illustrations/card/ill_61023_shinseibarentaimbakedanuki03.jpg", "■")</f>
        <v>■</v>
      </c>
      <c r="G16" s="4" t="s">
        <v>821</v>
      </c>
      <c r="H16" s="4" t="s">
        <v>412</v>
      </c>
      <c r="I16" s="4" t="s">
        <v>977</v>
      </c>
      <c r="J16" s="4">
        <v>14</v>
      </c>
      <c r="K16" s="4">
        <v>20748</v>
      </c>
      <c r="L16" s="4">
        <v>23044</v>
      </c>
      <c r="M16" s="4" t="s">
        <v>839</v>
      </c>
      <c r="N16" s="4" t="s">
        <v>406</v>
      </c>
      <c r="O16" t="s">
        <v>948</v>
      </c>
    </row>
    <row r="17" spans="1:14">
      <c r="A17" s="4">
        <v>44311</v>
      </c>
      <c r="B17" s="4" t="s">
        <v>9</v>
      </c>
      <c r="C17" s="4" t="s">
        <v>145</v>
      </c>
      <c r="D17" s="4" t="s">
        <v>146</v>
      </c>
      <c r="E17" s="4" t="s">
        <v>134</v>
      </c>
      <c r="F17" s="5" t="str">
        <f>HYPERLINK("https://stat100.ameba.jp/tnk47/ratio20/illustrations/card/ill_44311_shinseitoshusaisharaku01.jpg", "■")</f>
        <v>■</v>
      </c>
      <c r="G17" s="4" t="s">
        <v>127</v>
      </c>
      <c r="H17" s="4" t="s">
        <v>412</v>
      </c>
      <c r="I17" s="4" t="s">
        <v>977</v>
      </c>
      <c r="J17" s="4">
        <v>14</v>
      </c>
      <c r="K17" s="4">
        <v>23044</v>
      </c>
      <c r="L17" s="4">
        <v>20748</v>
      </c>
      <c r="M17" s="4" t="s">
        <v>40</v>
      </c>
      <c r="N17" s="4" t="s">
        <v>116</v>
      </c>
    </row>
    <row r="18" spans="1:14">
      <c r="A18" s="4">
        <v>45221</v>
      </c>
      <c r="B18" s="4" t="s">
        <v>9</v>
      </c>
      <c r="C18" s="4" t="s">
        <v>147</v>
      </c>
      <c r="D18" s="4" t="s">
        <v>148</v>
      </c>
      <c r="E18" s="4" t="s">
        <v>135</v>
      </c>
      <c r="F18" s="5" t="str">
        <f>HYPERLINK("https://stat100.ameba.jp/tnk47/ratio20/illustrations/card/ill_45221_shinseiamaterasu01.jpg", "■")</f>
        <v>■</v>
      </c>
      <c r="G18" s="4" t="s">
        <v>128</v>
      </c>
      <c r="H18" s="4" t="s">
        <v>412</v>
      </c>
      <c r="I18" s="4" t="s">
        <v>400</v>
      </c>
      <c r="J18" s="4">
        <v>14</v>
      </c>
      <c r="K18" s="4">
        <v>23044</v>
      </c>
      <c r="L18" s="4">
        <v>20748</v>
      </c>
      <c r="M18" s="4" t="s">
        <v>41</v>
      </c>
      <c r="N18" s="4" t="s">
        <v>117</v>
      </c>
    </row>
    <row r="19" spans="1:14">
      <c r="A19" s="4">
        <v>45311</v>
      </c>
      <c r="B19" s="4" t="s">
        <v>9</v>
      </c>
      <c r="C19" s="4" t="s">
        <v>149</v>
      </c>
      <c r="D19" s="4" t="s">
        <v>150</v>
      </c>
      <c r="E19" s="4" t="s">
        <v>136</v>
      </c>
      <c r="F19" s="5" t="str">
        <f>HYPERLINK("https://stat100.ameba.jp/tnk47/ratio20/illustrations/card/ill_45311_shinseikushikatsuchan01.jpg", "■")</f>
        <v>■</v>
      </c>
      <c r="G19" s="4" t="s">
        <v>129</v>
      </c>
      <c r="H19" s="4" t="s">
        <v>412</v>
      </c>
      <c r="I19" s="4" t="s">
        <v>400</v>
      </c>
      <c r="J19" s="4">
        <v>14</v>
      </c>
      <c r="K19" s="4">
        <v>23044</v>
      </c>
      <c r="L19" s="4">
        <v>20748</v>
      </c>
      <c r="M19" s="4" t="s">
        <v>42</v>
      </c>
      <c r="N19" s="4" t="s">
        <v>118</v>
      </c>
    </row>
    <row r="20" spans="1:14">
      <c r="A20" s="4">
        <v>47291</v>
      </c>
      <c r="B20" s="4" t="s">
        <v>9</v>
      </c>
      <c r="C20" s="4" t="s">
        <v>149</v>
      </c>
      <c r="D20" s="4" t="s">
        <v>141</v>
      </c>
      <c r="E20" s="4" t="s">
        <v>137</v>
      </c>
      <c r="F20" s="5" t="str">
        <f>HYPERLINK("https://stat100.ameba.jp/tnk47/ratio20/illustrations/card/ill_47291_shinseioeyamaonidensetsuminamotonoyorimitsu01.jpg", "■")</f>
        <v>■</v>
      </c>
      <c r="G20" s="4" t="s">
        <v>130</v>
      </c>
      <c r="H20" s="4" t="s">
        <v>412</v>
      </c>
      <c r="I20" s="4" t="s">
        <v>400</v>
      </c>
      <c r="J20" s="4">
        <v>14</v>
      </c>
      <c r="K20" s="4">
        <v>20748</v>
      </c>
      <c r="L20" s="4">
        <v>23044</v>
      </c>
      <c r="M20" s="4" t="s">
        <v>43</v>
      </c>
      <c r="N20" s="4" t="s">
        <v>119</v>
      </c>
    </row>
    <row r="21" spans="1:14">
      <c r="A21" s="4">
        <v>48071</v>
      </c>
      <c r="B21" s="4" t="s">
        <v>9</v>
      </c>
      <c r="C21" s="4" t="s">
        <v>151</v>
      </c>
      <c r="D21" s="4" t="s">
        <v>144</v>
      </c>
      <c r="E21" s="4" t="s">
        <v>138</v>
      </c>
      <c r="F21" s="5" t="str">
        <f>HYPERLINK("https://stat100.ameba.jp/tnk47/ratio20/illustrations/card/ill_48071_shinseiseiyaakarengasokochan01.jpg", "■")</f>
        <v>■</v>
      </c>
      <c r="G21" s="4" t="s">
        <v>131</v>
      </c>
      <c r="H21" s="4" t="s">
        <v>412</v>
      </c>
      <c r="I21" s="4" t="s">
        <v>400</v>
      </c>
      <c r="J21" s="4">
        <v>14</v>
      </c>
      <c r="K21" s="4">
        <v>20748</v>
      </c>
      <c r="L21" s="4">
        <v>23044</v>
      </c>
      <c r="M21" s="4" t="s">
        <v>44</v>
      </c>
      <c r="N21" s="4" t="s">
        <v>120</v>
      </c>
    </row>
    <row r="22" spans="1:14">
      <c r="A22" s="4">
        <v>48511</v>
      </c>
      <c r="B22" s="4" t="s">
        <v>9</v>
      </c>
      <c r="C22" s="4" t="s">
        <v>142</v>
      </c>
      <c r="D22" s="4" t="s">
        <v>143</v>
      </c>
      <c r="E22" s="4" t="s">
        <v>139</v>
      </c>
      <c r="F22" s="5" t="str">
        <f>HYPERLINK("https://stat100.ameba.jp/tnk47/ratio20/illustrations/card/ill_48511_shinseishimaduyoshihiro01.jpg", "■")</f>
        <v>■</v>
      </c>
      <c r="G22" s="4" t="s">
        <v>132</v>
      </c>
      <c r="H22" s="4" t="s">
        <v>412</v>
      </c>
      <c r="I22" s="4" t="s">
        <v>400</v>
      </c>
      <c r="J22" s="4">
        <v>14</v>
      </c>
      <c r="K22" s="4">
        <v>20748</v>
      </c>
      <c r="L22" s="4">
        <v>23044</v>
      </c>
      <c r="M22" s="4" t="s">
        <v>45</v>
      </c>
      <c r="N22" s="4" t="s">
        <v>121</v>
      </c>
    </row>
    <row r="23" spans="1:14">
      <c r="A23" s="4">
        <v>49541</v>
      </c>
      <c r="B23" s="4" t="s">
        <v>9</v>
      </c>
      <c r="C23" s="4" t="s">
        <v>149</v>
      </c>
      <c r="D23" s="4" t="s">
        <v>152</v>
      </c>
      <c r="E23" s="4" t="s">
        <v>140</v>
      </c>
      <c r="F23" s="5" t="str">
        <f>HYPERLINK("https://stat100.ameba.jp/tnk47/ratio20/illustrations/card/ill_49541_shinseishichiseikenshoutokutaishi01.jpg", "■")</f>
        <v>■</v>
      </c>
      <c r="G23" s="4" t="s">
        <v>133</v>
      </c>
      <c r="H23" s="4" t="s">
        <v>412</v>
      </c>
      <c r="I23" s="4" t="s">
        <v>977</v>
      </c>
      <c r="J23" s="4">
        <v>14</v>
      </c>
      <c r="K23" s="4">
        <v>23044</v>
      </c>
      <c r="L23" s="4">
        <v>20748</v>
      </c>
      <c r="M23" s="4" t="s">
        <v>46</v>
      </c>
      <c r="N23" s="4" t="s">
        <v>122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1FD67-D548-4107-B446-956A04979CFA}">
  <dimension ref="A1:O23"/>
  <sheetViews>
    <sheetView zoomScale="55" zoomScaleNormal="55" workbookViewId="0">
      <pane ySplit="1" topLeftCell="A2" activePane="bottomLeft" state="frozen"/>
      <selection activeCell="O1" sqref="O1"/>
      <selection pane="bottomLeft"/>
    </sheetView>
  </sheetViews>
  <sheetFormatPr defaultColWidth="8.9140625" defaultRowHeight="18"/>
  <cols>
    <col min="1" max="1" width="6.4140625" style="4" customWidth="1"/>
    <col min="2" max="2" width="3.9140625" style="4" customWidth="1"/>
    <col min="3" max="3" width="12.25" style="4" customWidth="1"/>
    <col min="4" max="4" width="5.4140625" style="4" customWidth="1"/>
    <col min="5" max="5" width="31" style="4" customWidth="1"/>
    <col min="6" max="6" width="3.9140625" style="4" customWidth="1"/>
    <col min="7" max="7" width="30.9140625" style="4" hidden="1" customWidth="1"/>
    <col min="8" max="8" width="12.9140625" style="4" hidden="1" customWidth="1"/>
    <col min="9" max="9" width="17.33203125" style="4" hidden="1" customWidth="1"/>
    <col min="10" max="10" width="3.75" style="4" customWidth="1"/>
    <col min="11" max="12" width="7.08203125" style="4" customWidth="1"/>
    <col min="13" max="13" width="30.9140625" style="4" hidden="1" customWidth="1"/>
    <col min="14" max="14" width="71" style="4" customWidth="1"/>
    <col min="15" max="15" width="25.9140625" style="4" customWidth="1"/>
    <col min="16" max="16384" width="8.9140625" style="4"/>
  </cols>
  <sheetData>
    <row r="1" spans="1:15" s="1" customFormat="1">
      <c r="A1" s="2" t="s">
        <v>92</v>
      </c>
      <c r="B1" s="2" t="s">
        <v>26</v>
      </c>
      <c r="C1" s="2" t="s">
        <v>19</v>
      </c>
      <c r="D1" s="2" t="s">
        <v>20</v>
      </c>
      <c r="E1" s="2" t="s">
        <v>21</v>
      </c>
      <c r="F1" s="2" t="s">
        <v>93</v>
      </c>
      <c r="G1" s="2" t="s">
        <v>94</v>
      </c>
      <c r="H1" s="3" t="s">
        <v>30</v>
      </c>
      <c r="I1" s="3" t="s">
        <v>22</v>
      </c>
      <c r="J1" s="3" t="s">
        <v>78</v>
      </c>
      <c r="K1" s="3" t="s">
        <v>23</v>
      </c>
      <c r="L1" s="3" t="s">
        <v>24</v>
      </c>
      <c r="M1" s="3" t="s">
        <v>25</v>
      </c>
      <c r="N1" s="3" t="s">
        <v>480</v>
      </c>
      <c r="O1" s="3" t="s">
        <v>936</v>
      </c>
    </row>
    <row r="2" spans="1:15">
      <c r="E2" s="5"/>
      <c r="F2" s="5"/>
    </row>
    <row r="3" spans="1:15">
      <c r="A3" s="4">
        <v>68893</v>
      </c>
      <c r="B3" s="4" t="s">
        <v>95</v>
      </c>
      <c r="C3" s="4" t="s">
        <v>27</v>
      </c>
      <c r="D3" s="4" t="s">
        <v>287</v>
      </c>
      <c r="E3" s="4" t="s">
        <v>282</v>
      </c>
      <c r="F3" s="5" t="str">
        <f>HYPERLINK("https://stat100.ameba.jp/tnk47/ratio20/illustrations/card/ill_68893_niramitai03.jpg", "■")</f>
        <v>■</v>
      </c>
      <c r="G3" s="4" t="s">
        <v>308</v>
      </c>
      <c r="H3" s="4" t="s">
        <v>412</v>
      </c>
      <c r="I3" s="4" t="s">
        <v>412</v>
      </c>
      <c r="J3" s="4">
        <v>10</v>
      </c>
      <c r="K3" s="4">
        <v>42356</v>
      </c>
      <c r="L3" s="4">
        <v>45637</v>
      </c>
      <c r="M3" s="4" t="s">
        <v>297</v>
      </c>
      <c r="N3" s="4" t="s">
        <v>354</v>
      </c>
      <c r="O3" s="4" t="s">
        <v>969</v>
      </c>
    </row>
    <row r="4" spans="1:15">
      <c r="A4" s="4">
        <v>68953</v>
      </c>
      <c r="B4" s="4" t="s">
        <v>9</v>
      </c>
      <c r="C4" s="4" t="s">
        <v>33</v>
      </c>
      <c r="D4" s="4" t="s">
        <v>54</v>
      </c>
      <c r="E4" s="4" t="s">
        <v>289</v>
      </c>
      <c r="F4" s="5" t="str">
        <f>HYPERLINK("https://stat100.ameba.jp/tnk47/ratio20/illustrations/card/ill_68953_mikoshikkenken03.jpg", "■")</f>
        <v>■</v>
      </c>
      <c r="G4" s="4" t="s">
        <v>309</v>
      </c>
      <c r="H4" s="4" t="s">
        <v>48</v>
      </c>
      <c r="I4" s="4" t="s">
        <v>49</v>
      </c>
      <c r="J4" s="4">
        <v>13</v>
      </c>
      <c r="K4" s="4">
        <v>30283</v>
      </c>
      <c r="L4" s="4">
        <v>33384</v>
      </c>
      <c r="M4" s="4" t="s">
        <v>298</v>
      </c>
      <c r="N4" s="4" t="s">
        <v>355</v>
      </c>
    </row>
    <row r="5" spans="1:15">
      <c r="A5" s="4">
        <v>68903</v>
      </c>
      <c r="B5" s="4" t="s">
        <v>9</v>
      </c>
      <c r="C5" s="4" t="s">
        <v>57</v>
      </c>
      <c r="D5" s="4" t="s">
        <v>287</v>
      </c>
      <c r="E5" s="4" t="s">
        <v>290</v>
      </c>
      <c r="F5" s="5" t="str">
        <f>HYPERLINK("https://stat100.ameba.jp/tnk47/ratio20/illustrations/card/ill_68903_sainokamiyaki03.jpg", "■")</f>
        <v>■</v>
      </c>
      <c r="G5" s="4" t="s">
        <v>310</v>
      </c>
      <c r="H5" s="4" t="s">
        <v>48</v>
      </c>
      <c r="I5" s="4" t="s">
        <v>49</v>
      </c>
      <c r="J5" s="4">
        <v>6</v>
      </c>
      <c r="K5" s="4">
        <v>17784</v>
      </c>
      <c r="L5" s="4">
        <v>16130</v>
      </c>
      <c r="M5" s="4" t="s">
        <v>299</v>
      </c>
      <c r="N5" s="4" t="s">
        <v>356</v>
      </c>
    </row>
    <row r="6" spans="1:15">
      <c r="A6" s="4">
        <v>68913</v>
      </c>
      <c r="B6" s="4" t="s">
        <v>9</v>
      </c>
      <c r="C6" s="4" t="s">
        <v>61</v>
      </c>
      <c r="D6" s="4" t="s">
        <v>287</v>
      </c>
      <c r="E6" s="4" t="s">
        <v>291</v>
      </c>
      <c r="F6" s="5" t="str">
        <f>HYPERLINK("https://stat100.ameba.jp/tnk47/ratio20/illustrations/card/ill_68913_oniyozu03.jpg", "■")</f>
        <v>■</v>
      </c>
      <c r="G6" s="4" t="s">
        <v>311</v>
      </c>
      <c r="H6" s="4" t="s">
        <v>99</v>
      </c>
      <c r="I6" s="4" t="s">
        <v>12</v>
      </c>
      <c r="J6" s="4">
        <v>10</v>
      </c>
      <c r="K6" s="4">
        <v>26884</v>
      </c>
      <c r="L6" s="4">
        <v>29640</v>
      </c>
      <c r="M6" s="4" t="s">
        <v>300</v>
      </c>
      <c r="N6" s="4" t="s">
        <v>357</v>
      </c>
    </row>
    <row r="7" spans="1:15">
      <c r="A7" s="4">
        <v>68933</v>
      </c>
      <c r="B7" s="4" t="s">
        <v>10</v>
      </c>
      <c r="C7" s="4" t="s">
        <v>283</v>
      </c>
      <c r="D7" s="4" t="s">
        <v>287</v>
      </c>
      <c r="E7" s="4" t="s">
        <v>292</v>
      </c>
      <c r="F7" s="5" t="str">
        <f>HYPERLINK("https://stat100.ameba.jp/tnk47/ratio20/illustrations/card/ill_68933_yoshokaguya03.jpg", "■")</f>
        <v>■</v>
      </c>
      <c r="G7" s="4" t="s">
        <v>312</v>
      </c>
      <c r="H7" s="4" t="s">
        <v>100</v>
      </c>
      <c r="I7" s="4" t="s">
        <v>16</v>
      </c>
      <c r="J7" s="4">
        <v>9</v>
      </c>
      <c r="K7" s="4">
        <v>15559</v>
      </c>
      <c r="L7" s="4">
        <v>18712</v>
      </c>
      <c r="M7" s="4" t="s">
        <v>301</v>
      </c>
      <c r="N7" s="4" t="s">
        <v>5</v>
      </c>
    </row>
    <row r="8" spans="1:15">
      <c r="A8" s="4">
        <v>68923</v>
      </c>
      <c r="B8" s="4" t="s">
        <v>10</v>
      </c>
      <c r="C8" s="4" t="s">
        <v>33</v>
      </c>
      <c r="D8" s="4" t="s">
        <v>287</v>
      </c>
      <c r="E8" s="4" t="s">
        <v>293</v>
      </c>
      <c r="F8" s="5" t="str">
        <f>HYPERLINK("https://stat100.ameba.jp/tnk47/ratio20/illustrations/card/ill_68923_inugashiranomitamanokami03.jpg", "■")</f>
        <v>■</v>
      </c>
      <c r="G8" s="4" t="s">
        <v>313</v>
      </c>
      <c r="H8" s="4" t="s">
        <v>101</v>
      </c>
      <c r="I8" s="4" t="s">
        <v>14</v>
      </c>
      <c r="J8" s="4">
        <v>8</v>
      </c>
      <c r="K8" s="4">
        <v>16633</v>
      </c>
      <c r="L8" s="4">
        <v>13830</v>
      </c>
      <c r="M8" s="4" t="s">
        <v>303</v>
      </c>
      <c r="N8" s="4" t="s">
        <v>6</v>
      </c>
    </row>
    <row r="9" spans="1:15">
      <c r="A9" s="4">
        <v>68973</v>
      </c>
      <c r="B9" s="4" t="s">
        <v>11</v>
      </c>
      <c r="C9" s="4" t="s">
        <v>284</v>
      </c>
      <c r="D9" s="4" t="s">
        <v>54</v>
      </c>
      <c r="E9" s="4" t="s">
        <v>294</v>
      </c>
      <c r="F9" s="5" t="str">
        <f>HYPERLINK("https://stat100.ameba.jp/tnk47/ratio20/illustrations/card/ill_68973_seijinshikiaburasumashi03.jpg", "■")</f>
        <v>■</v>
      </c>
      <c r="G9" s="4" t="s">
        <v>314</v>
      </c>
      <c r="H9" s="4" t="s">
        <v>15</v>
      </c>
      <c r="I9" s="4" t="s">
        <v>13</v>
      </c>
      <c r="J9" s="4">
        <v>9</v>
      </c>
      <c r="K9" s="4">
        <v>11329</v>
      </c>
      <c r="L9" s="4">
        <v>9514</v>
      </c>
      <c r="M9" s="4" t="s">
        <v>304</v>
      </c>
      <c r="N9" s="4" t="s">
        <v>29</v>
      </c>
    </row>
    <row r="10" spans="1:15">
      <c r="A10" s="4">
        <v>68983</v>
      </c>
      <c r="B10" s="4" t="s">
        <v>11</v>
      </c>
      <c r="C10" s="4" t="s">
        <v>285</v>
      </c>
      <c r="D10" s="4" t="s">
        <v>288</v>
      </c>
      <c r="E10" s="4" t="s">
        <v>295</v>
      </c>
      <c r="F10" s="5" t="str">
        <f>HYPERLINK("https://stat100.ameba.jp/tnk47/ratio20/illustrations/card/ill_68983_fuyunojinosennokata03.jpg", "■")</f>
        <v>■</v>
      </c>
      <c r="G10" s="4" t="s">
        <v>315</v>
      </c>
      <c r="H10" s="4" t="s">
        <v>15</v>
      </c>
      <c r="I10" s="4" t="s">
        <v>13</v>
      </c>
      <c r="J10" s="4">
        <v>9</v>
      </c>
      <c r="K10" s="4">
        <v>11329</v>
      </c>
      <c r="L10" s="4">
        <v>9514</v>
      </c>
      <c r="M10" s="4" t="s">
        <v>305</v>
      </c>
      <c r="N10" s="4" t="s">
        <v>89</v>
      </c>
    </row>
    <row r="11" spans="1:15">
      <c r="A11" s="4">
        <v>68943</v>
      </c>
      <c r="B11" s="4" t="s">
        <v>11</v>
      </c>
      <c r="C11" s="4" t="s">
        <v>286</v>
      </c>
      <c r="D11" s="4" t="s">
        <v>287</v>
      </c>
      <c r="E11" s="4" t="s">
        <v>296</v>
      </c>
      <c r="F11" s="5" t="str">
        <f>HYPERLINK("https://stat100.ameba.jp/tnk47/ratio20/illustrations/card/ill_68943_harinezumi03.jpg", "■")</f>
        <v>■</v>
      </c>
      <c r="G11" s="4" t="s">
        <v>316</v>
      </c>
      <c r="H11" s="4" t="s">
        <v>15</v>
      </c>
      <c r="I11" s="4" t="s">
        <v>13</v>
      </c>
      <c r="J11" s="4">
        <v>6</v>
      </c>
      <c r="K11" s="4">
        <v>7552</v>
      </c>
      <c r="L11" s="4">
        <v>6343</v>
      </c>
      <c r="M11" s="4" t="s">
        <v>307</v>
      </c>
      <c r="N11" s="4" t="s">
        <v>306</v>
      </c>
    </row>
    <row r="13" spans="1:15">
      <c r="A13" s="4" t="s">
        <v>153</v>
      </c>
    </row>
    <row r="14" spans="1:15">
      <c r="A14" s="4">
        <v>51531</v>
      </c>
      <c r="B14" s="4" t="s">
        <v>9</v>
      </c>
      <c r="C14" s="4" t="s">
        <v>33</v>
      </c>
      <c r="D14" s="4" t="s">
        <v>141</v>
      </c>
      <c r="E14" s="4" t="s">
        <v>34</v>
      </c>
      <c r="F14" s="5" t="str">
        <f>HYPERLINK("https://stat100.ameba.jp/tnk47/ratio20/illustrations/card/ill_51531_shinseikitsunenoyomeiri01.jpg", "■")</f>
        <v>■</v>
      </c>
      <c r="G14" s="4" t="s">
        <v>124</v>
      </c>
      <c r="H14" s="4" t="s">
        <v>412</v>
      </c>
      <c r="I14" s="4" t="s">
        <v>977</v>
      </c>
      <c r="J14" s="4">
        <v>14</v>
      </c>
      <c r="K14" s="4">
        <v>20748</v>
      </c>
      <c r="L14" s="4">
        <v>23044</v>
      </c>
      <c r="M14" s="4" t="s">
        <v>39</v>
      </c>
      <c r="N14" s="4" t="s">
        <v>86</v>
      </c>
      <c r="O14" t="s">
        <v>933</v>
      </c>
    </row>
    <row r="15" spans="1:15">
      <c r="A15" s="4">
        <v>61731</v>
      </c>
      <c r="B15" s="4" t="s">
        <v>9</v>
      </c>
      <c r="C15" s="4" t="s">
        <v>142</v>
      </c>
      <c r="D15" s="4" t="s">
        <v>143</v>
      </c>
      <c r="E15" s="4" t="s">
        <v>35</v>
      </c>
      <c r="F15" s="5" t="str">
        <f>HYPERLINK("https://stat100.ameba.jp/tnk47/ratio20/illustrations/card/ill_61731_shinseigakumonnokamisamasugawaramichizane01.jpg", "■")</f>
        <v>■</v>
      </c>
      <c r="G15" s="4" t="s">
        <v>125</v>
      </c>
      <c r="H15" s="4" t="s">
        <v>123</v>
      </c>
      <c r="I15" s="4" t="s">
        <v>53</v>
      </c>
      <c r="J15" s="4">
        <v>14</v>
      </c>
      <c r="K15" s="4">
        <v>23044</v>
      </c>
      <c r="L15" s="4">
        <v>20748</v>
      </c>
      <c r="M15" s="4" t="s">
        <v>38</v>
      </c>
      <c r="N15" s="4" t="s">
        <v>87</v>
      </c>
      <c r="O15" t="s">
        <v>934</v>
      </c>
    </row>
    <row r="16" spans="1:15">
      <c r="A16" s="4">
        <v>65051</v>
      </c>
      <c r="B16" s="4" t="s">
        <v>9</v>
      </c>
      <c r="C16" s="4" t="s">
        <v>33</v>
      </c>
      <c r="D16" s="4" t="s">
        <v>144</v>
      </c>
      <c r="E16" s="4" t="s">
        <v>36</v>
      </c>
      <c r="F16" s="5" t="str">
        <f>HYPERLINK("https://stat100.ameba.jp/tnk47/ratio20/illustrations/card/ill_65051_karuizawakogen01.jpg", "■")</f>
        <v>■</v>
      </c>
      <c r="G16" s="4" t="s">
        <v>126</v>
      </c>
      <c r="H16" s="4" t="s">
        <v>412</v>
      </c>
      <c r="I16" s="4" t="s">
        <v>977</v>
      </c>
      <c r="J16" s="4">
        <v>14</v>
      </c>
      <c r="K16" s="4">
        <v>23044</v>
      </c>
      <c r="L16" s="4">
        <v>20748</v>
      </c>
      <c r="M16" s="4" t="s">
        <v>37</v>
      </c>
      <c r="N16" s="4" t="s">
        <v>88</v>
      </c>
      <c r="O16" t="s">
        <v>935</v>
      </c>
    </row>
    <row r="17" spans="1:14">
      <c r="A17" s="4">
        <v>44311</v>
      </c>
      <c r="B17" s="4" t="s">
        <v>9</v>
      </c>
      <c r="C17" s="4" t="s">
        <v>145</v>
      </c>
      <c r="D17" s="4" t="s">
        <v>146</v>
      </c>
      <c r="E17" s="4" t="s">
        <v>134</v>
      </c>
      <c r="F17" s="5" t="str">
        <f>HYPERLINK("https://stat100.ameba.jp/tnk47/ratio20/illustrations/card/ill_44311_shinseitoshusaisharaku01.jpg", "■")</f>
        <v>■</v>
      </c>
      <c r="G17" s="4" t="s">
        <v>127</v>
      </c>
      <c r="H17" s="4" t="s">
        <v>412</v>
      </c>
      <c r="I17" s="4" t="s">
        <v>977</v>
      </c>
      <c r="J17" s="4">
        <v>14</v>
      </c>
      <c r="K17" s="4">
        <v>23044</v>
      </c>
      <c r="L17" s="4">
        <v>20748</v>
      </c>
      <c r="M17" s="4" t="s">
        <v>40</v>
      </c>
      <c r="N17" s="4" t="s">
        <v>116</v>
      </c>
    </row>
    <row r="18" spans="1:14">
      <c r="A18" s="4">
        <v>45221</v>
      </c>
      <c r="B18" s="4" t="s">
        <v>9</v>
      </c>
      <c r="C18" s="4" t="s">
        <v>147</v>
      </c>
      <c r="D18" s="4" t="s">
        <v>148</v>
      </c>
      <c r="E18" s="4" t="s">
        <v>135</v>
      </c>
      <c r="F18" s="5" t="str">
        <f>HYPERLINK("https://stat100.ameba.jp/tnk47/ratio20/illustrations/card/ill_45221_shinseiamaterasu01.jpg", "■")</f>
        <v>■</v>
      </c>
      <c r="G18" s="4" t="s">
        <v>128</v>
      </c>
      <c r="H18" s="4" t="s">
        <v>412</v>
      </c>
      <c r="I18" s="4" t="s">
        <v>400</v>
      </c>
      <c r="J18" s="4">
        <v>14</v>
      </c>
      <c r="K18" s="4">
        <v>23044</v>
      </c>
      <c r="L18" s="4">
        <v>20748</v>
      </c>
      <c r="M18" s="4" t="s">
        <v>41</v>
      </c>
      <c r="N18" s="4" t="s">
        <v>117</v>
      </c>
    </row>
    <row r="19" spans="1:14">
      <c r="A19" s="4">
        <v>45311</v>
      </c>
      <c r="B19" s="4" t="s">
        <v>9</v>
      </c>
      <c r="C19" s="4" t="s">
        <v>149</v>
      </c>
      <c r="D19" s="4" t="s">
        <v>150</v>
      </c>
      <c r="E19" s="4" t="s">
        <v>136</v>
      </c>
      <c r="F19" s="5" t="str">
        <f>HYPERLINK("https://stat100.ameba.jp/tnk47/ratio20/illustrations/card/ill_45311_shinseikushikatsuchan01.jpg", "■")</f>
        <v>■</v>
      </c>
      <c r="G19" s="4" t="s">
        <v>129</v>
      </c>
      <c r="H19" s="4" t="s">
        <v>412</v>
      </c>
      <c r="I19" s="4" t="s">
        <v>400</v>
      </c>
      <c r="J19" s="4">
        <v>14</v>
      </c>
      <c r="K19" s="4">
        <v>23044</v>
      </c>
      <c r="L19" s="4">
        <v>20748</v>
      </c>
      <c r="M19" s="4" t="s">
        <v>42</v>
      </c>
      <c r="N19" s="4" t="s">
        <v>118</v>
      </c>
    </row>
    <row r="20" spans="1:14">
      <c r="A20" s="4">
        <v>47291</v>
      </c>
      <c r="B20" s="4" t="s">
        <v>9</v>
      </c>
      <c r="C20" s="4" t="s">
        <v>149</v>
      </c>
      <c r="D20" s="4" t="s">
        <v>141</v>
      </c>
      <c r="E20" s="4" t="s">
        <v>137</v>
      </c>
      <c r="F20" s="5" t="str">
        <f>HYPERLINK("https://stat100.ameba.jp/tnk47/ratio20/illustrations/card/ill_47291_shinseioeyamaonidensetsuminamotonoyorimitsu01.jpg", "■")</f>
        <v>■</v>
      </c>
      <c r="G20" s="4" t="s">
        <v>130</v>
      </c>
      <c r="H20" s="4" t="s">
        <v>412</v>
      </c>
      <c r="I20" s="4" t="s">
        <v>400</v>
      </c>
      <c r="J20" s="4">
        <v>14</v>
      </c>
      <c r="K20" s="4">
        <v>20748</v>
      </c>
      <c r="L20" s="4">
        <v>23044</v>
      </c>
      <c r="M20" s="4" t="s">
        <v>43</v>
      </c>
      <c r="N20" s="4" t="s">
        <v>119</v>
      </c>
    </row>
    <row r="21" spans="1:14">
      <c r="A21" s="4">
        <v>48071</v>
      </c>
      <c r="B21" s="4" t="s">
        <v>9</v>
      </c>
      <c r="C21" s="4" t="s">
        <v>151</v>
      </c>
      <c r="D21" s="4" t="s">
        <v>144</v>
      </c>
      <c r="E21" s="4" t="s">
        <v>138</v>
      </c>
      <c r="F21" s="5" t="str">
        <f>HYPERLINK("https://stat100.ameba.jp/tnk47/ratio20/illustrations/card/ill_48071_shinseiseiyaakarengasokochan01.jpg", "■")</f>
        <v>■</v>
      </c>
      <c r="G21" s="4" t="s">
        <v>131</v>
      </c>
      <c r="H21" s="4" t="s">
        <v>412</v>
      </c>
      <c r="I21" s="4" t="s">
        <v>400</v>
      </c>
      <c r="J21" s="4">
        <v>14</v>
      </c>
      <c r="K21" s="4">
        <v>20748</v>
      </c>
      <c r="L21" s="4">
        <v>23044</v>
      </c>
      <c r="M21" s="4" t="s">
        <v>44</v>
      </c>
      <c r="N21" s="4" t="s">
        <v>120</v>
      </c>
    </row>
    <row r="22" spans="1:14">
      <c r="A22" s="4">
        <v>48511</v>
      </c>
      <c r="B22" s="4" t="s">
        <v>9</v>
      </c>
      <c r="C22" s="4" t="s">
        <v>142</v>
      </c>
      <c r="D22" s="4" t="s">
        <v>143</v>
      </c>
      <c r="E22" s="4" t="s">
        <v>139</v>
      </c>
      <c r="F22" s="5" t="str">
        <f>HYPERLINK("https://stat100.ameba.jp/tnk47/ratio20/illustrations/card/ill_48511_shinseishimaduyoshihiro01.jpg", "■")</f>
        <v>■</v>
      </c>
      <c r="G22" s="4" t="s">
        <v>132</v>
      </c>
      <c r="H22" s="4" t="s">
        <v>412</v>
      </c>
      <c r="I22" s="4" t="s">
        <v>400</v>
      </c>
      <c r="J22" s="4">
        <v>14</v>
      </c>
      <c r="K22" s="4">
        <v>20748</v>
      </c>
      <c r="L22" s="4">
        <v>23044</v>
      </c>
      <c r="M22" s="4" t="s">
        <v>45</v>
      </c>
      <c r="N22" s="4" t="s">
        <v>121</v>
      </c>
    </row>
    <row r="23" spans="1:14">
      <c r="A23" s="4">
        <v>49541</v>
      </c>
      <c r="B23" s="4" t="s">
        <v>9</v>
      </c>
      <c r="C23" s="4" t="s">
        <v>149</v>
      </c>
      <c r="D23" s="4" t="s">
        <v>152</v>
      </c>
      <c r="E23" s="4" t="s">
        <v>140</v>
      </c>
      <c r="F23" s="5" t="str">
        <f>HYPERLINK("https://stat100.ameba.jp/tnk47/ratio20/illustrations/card/ill_49541_shinseishichiseikenshoutokutaishi01.jpg", "■")</f>
        <v>■</v>
      </c>
      <c r="G23" s="4" t="s">
        <v>133</v>
      </c>
      <c r="H23" s="4" t="s">
        <v>412</v>
      </c>
      <c r="I23" s="4" t="s">
        <v>977</v>
      </c>
      <c r="J23" s="4">
        <v>14</v>
      </c>
      <c r="K23" s="4">
        <v>23044</v>
      </c>
      <c r="L23" s="4">
        <v>20748</v>
      </c>
      <c r="M23" s="4" t="s">
        <v>46</v>
      </c>
      <c r="N23" s="4" t="s">
        <v>122</v>
      </c>
    </row>
  </sheetData>
  <phoneticPr fontId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E3D7C-D5AA-49AB-96E8-0B5F18A4598E}">
  <dimension ref="A1:O23"/>
  <sheetViews>
    <sheetView zoomScale="55" zoomScaleNormal="55" workbookViewId="0">
      <pane ySplit="1" topLeftCell="A2" activePane="bottomLeft" state="frozen"/>
      <selection activeCell="O1" sqref="O1"/>
      <selection pane="bottomLeft"/>
    </sheetView>
  </sheetViews>
  <sheetFormatPr defaultColWidth="8.9140625" defaultRowHeight="18"/>
  <cols>
    <col min="1" max="1" width="6.4140625" style="4" customWidth="1"/>
    <col min="2" max="2" width="3.9140625" style="4" customWidth="1"/>
    <col min="3" max="3" width="12.25" style="4" customWidth="1"/>
    <col min="4" max="4" width="5.4140625" style="4" customWidth="1"/>
    <col min="5" max="5" width="31" style="4" customWidth="1"/>
    <col min="6" max="6" width="3.9140625" style="4" customWidth="1"/>
    <col min="7" max="7" width="30.9140625" style="4" hidden="1" customWidth="1"/>
    <col min="8" max="8" width="12.9140625" style="4" hidden="1" customWidth="1"/>
    <col min="9" max="9" width="17.33203125" style="4" hidden="1" customWidth="1"/>
    <col min="10" max="10" width="3.75" style="4" customWidth="1"/>
    <col min="11" max="12" width="7.08203125" style="4" customWidth="1"/>
    <col min="13" max="13" width="30.9140625" style="4" hidden="1" customWidth="1"/>
    <col min="14" max="14" width="71" style="4" customWidth="1"/>
    <col min="15" max="15" width="25.9140625" style="4" customWidth="1"/>
    <col min="16" max="16384" width="8.9140625" style="4"/>
  </cols>
  <sheetData>
    <row r="1" spans="1:15" s="1" customFormat="1">
      <c r="A1" s="2" t="s">
        <v>92</v>
      </c>
      <c r="B1" s="2" t="s">
        <v>26</v>
      </c>
      <c r="C1" s="2" t="s">
        <v>19</v>
      </c>
      <c r="D1" s="2" t="s">
        <v>20</v>
      </c>
      <c r="E1" s="2" t="s">
        <v>21</v>
      </c>
      <c r="F1" s="2" t="s">
        <v>93</v>
      </c>
      <c r="G1" s="2" t="s">
        <v>94</v>
      </c>
      <c r="H1" s="3" t="s">
        <v>30</v>
      </c>
      <c r="I1" s="3" t="s">
        <v>22</v>
      </c>
      <c r="J1" s="3" t="s">
        <v>78</v>
      </c>
      <c r="K1" s="3" t="s">
        <v>23</v>
      </c>
      <c r="L1" s="3" t="s">
        <v>24</v>
      </c>
      <c r="M1" s="3" t="s">
        <v>25</v>
      </c>
      <c r="N1" s="3" t="s">
        <v>480</v>
      </c>
      <c r="O1" s="3" t="s">
        <v>936</v>
      </c>
    </row>
    <row r="2" spans="1:15">
      <c r="E2" s="5"/>
      <c r="F2" s="5"/>
    </row>
    <row r="3" spans="1:15">
      <c r="A3" s="4">
        <v>69703</v>
      </c>
      <c r="B3" s="4" t="s">
        <v>95</v>
      </c>
      <c r="C3" s="4" t="s">
        <v>47</v>
      </c>
      <c r="D3" s="4" t="s">
        <v>320</v>
      </c>
      <c r="E3" s="4" t="s">
        <v>322</v>
      </c>
      <c r="F3" s="5" t="str">
        <f>HYPERLINK("https://stat100.ameba.jp/tnk47/ratio20/illustrations/card/ill_69703_shindoninomiyakinjiro03.jpg", "■")</f>
        <v>■</v>
      </c>
      <c r="G3" s="4" t="s">
        <v>345</v>
      </c>
      <c r="H3" s="4" t="s">
        <v>928</v>
      </c>
      <c r="I3" s="4" t="s">
        <v>929</v>
      </c>
      <c r="J3" s="4">
        <v>10</v>
      </c>
      <c r="K3" s="4">
        <v>39061</v>
      </c>
      <c r="L3" s="4">
        <v>36304</v>
      </c>
      <c r="M3" s="4" t="s">
        <v>333</v>
      </c>
      <c r="N3" s="4" t="s">
        <v>332</v>
      </c>
    </row>
    <row r="4" spans="1:15">
      <c r="A4" s="4">
        <v>69763</v>
      </c>
      <c r="B4" s="4" t="s">
        <v>9</v>
      </c>
      <c r="C4" s="4" t="s">
        <v>64</v>
      </c>
      <c r="D4" s="4" t="s">
        <v>321</v>
      </c>
      <c r="E4" s="4" t="s">
        <v>323</v>
      </c>
      <c r="F4" s="5" t="str">
        <f>HYPERLINK("https://stat100.ameba.jp/tnk47/ratio20/illustrations/card/ill_69763_nomurabotoni03.jpg", "■")</f>
        <v>■</v>
      </c>
      <c r="G4" s="4" t="s">
        <v>346</v>
      </c>
      <c r="H4" s="4" t="s">
        <v>48</v>
      </c>
      <c r="I4" s="4" t="s">
        <v>49</v>
      </c>
      <c r="J4" s="4">
        <v>13</v>
      </c>
      <c r="K4" s="4">
        <v>30283</v>
      </c>
      <c r="L4" s="4">
        <v>33384</v>
      </c>
      <c r="M4" s="4" t="s">
        <v>334</v>
      </c>
      <c r="N4" s="4" t="s">
        <v>358</v>
      </c>
    </row>
    <row r="5" spans="1:15">
      <c r="A5" s="4">
        <v>70963</v>
      </c>
      <c r="B5" s="4" t="s">
        <v>9</v>
      </c>
      <c r="C5" s="4" t="s">
        <v>64</v>
      </c>
      <c r="D5" s="4" t="s">
        <v>320</v>
      </c>
      <c r="E5" s="4" t="s">
        <v>324</v>
      </c>
      <c r="F5" s="5" t="str">
        <f>HYPERLINK("https://stat100.ameba.jp/tnk47/ratio20/illustrations/card/ill_70963_shohashio03.jpg", "■")</f>
        <v>■</v>
      </c>
      <c r="G5" s="4" t="s">
        <v>347</v>
      </c>
      <c r="H5" s="4" t="s">
        <v>48</v>
      </c>
      <c r="I5" s="4" t="s">
        <v>49</v>
      </c>
      <c r="J5" s="4">
        <v>6</v>
      </c>
      <c r="K5" s="4">
        <v>17784</v>
      </c>
      <c r="L5" s="4">
        <v>16130</v>
      </c>
      <c r="M5" s="4" t="s">
        <v>335</v>
      </c>
      <c r="N5" s="4" t="s">
        <v>359</v>
      </c>
    </row>
    <row r="6" spans="1:15">
      <c r="A6" s="4">
        <v>70953</v>
      </c>
      <c r="B6" s="4" t="s">
        <v>9</v>
      </c>
      <c r="C6" s="4" t="s">
        <v>286</v>
      </c>
      <c r="D6" s="4" t="s">
        <v>320</v>
      </c>
      <c r="E6" s="4" t="s">
        <v>325</v>
      </c>
      <c r="F6" s="5" t="str">
        <f>HYPERLINK("https://stat100.ameba.jp/tnk47/ratio20/illustrations/card/ill_70953_fukuzawayukichi03.jpg", "■")</f>
        <v>■</v>
      </c>
      <c r="G6" s="4" t="s">
        <v>348</v>
      </c>
      <c r="H6" s="4" t="s">
        <v>99</v>
      </c>
      <c r="I6" s="4" t="s">
        <v>12</v>
      </c>
      <c r="J6" s="4">
        <v>10</v>
      </c>
      <c r="K6" s="4">
        <v>26884</v>
      </c>
      <c r="L6" s="4">
        <v>29640</v>
      </c>
      <c r="M6" s="4" t="s">
        <v>336</v>
      </c>
      <c r="N6" s="4" t="s">
        <v>360</v>
      </c>
    </row>
    <row r="7" spans="1:15">
      <c r="A7" s="4">
        <v>69733</v>
      </c>
      <c r="B7" s="4" t="s">
        <v>10</v>
      </c>
      <c r="C7" s="4" t="s">
        <v>57</v>
      </c>
      <c r="D7" s="4" t="s">
        <v>320</v>
      </c>
      <c r="E7" s="4" t="s">
        <v>326</v>
      </c>
      <c r="F7" s="5" t="str">
        <f>HYPERLINK("https://stat100.ameba.jp/tnk47/ratio20/illustrations/card/ill_69733_aizunojuhimeniijimayae03.jpg", "■")</f>
        <v>■</v>
      </c>
      <c r="G7" s="4" t="s">
        <v>349</v>
      </c>
      <c r="H7" s="4" t="s">
        <v>100</v>
      </c>
      <c r="I7" s="4" t="s">
        <v>16</v>
      </c>
      <c r="J7" s="4">
        <v>9</v>
      </c>
      <c r="K7" s="4">
        <v>18712</v>
      </c>
      <c r="L7" s="4">
        <v>15559</v>
      </c>
      <c r="M7" s="4" t="s">
        <v>337</v>
      </c>
      <c r="N7" s="4" t="s">
        <v>4</v>
      </c>
    </row>
    <row r="8" spans="1:15">
      <c r="A8" s="4">
        <v>69743</v>
      </c>
      <c r="B8" s="4" t="s">
        <v>10</v>
      </c>
      <c r="C8" s="4" t="s">
        <v>283</v>
      </c>
      <c r="D8" s="4" t="s">
        <v>320</v>
      </c>
      <c r="E8" s="4" t="s">
        <v>327</v>
      </c>
      <c r="F8" s="5" t="str">
        <f>HYPERLINK("https://stat100.ameba.jp/tnk47/ratio20/illustrations/card/ill_69743_kentosannankeisuke03.jpg", "■")</f>
        <v>■</v>
      </c>
      <c r="G8" s="4" t="s">
        <v>350</v>
      </c>
      <c r="H8" s="4" t="s">
        <v>101</v>
      </c>
      <c r="I8" s="4" t="s">
        <v>14</v>
      </c>
      <c r="J8" s="4">
        <v>8</v>
      </c>
      <c r="K8" s="4">
        <v>13830</v>
      </c>
      <c r="L8" s="4">
        <v>16633</v>
      </c>
      <c r="M8" s="4" t="s">
        <v>339</v>
      </c>
      <c r="N8" s="4" t="s">
        <v>338</v>
      </c>
    </row>
    <row r="9" spans="1:15">
      <c r="A9" s="4">
        <v>69783</v>
      </c>
      <c r="B9" s="4" t="s">
        <v>11</v>
      </c>
      <c r="C9" s="4" t="s">
        <v>318</v>
      </c>
      <c r="D9" s="4" t="s">
        <v>96</v>
      </c>
      <c r="E9" s="4" t="s">
        <v>328</v>
      </c>
      <c r="F9" s="5" t="str">
        <f>HYPERLINK("https://stat100.ameba.jp/tnk47/ratio20/illustrations/card/ill_69783_shimemaruyukihira03.jpg", "■")</f>
        <v>■</v>
      </c>
      <c r="G9" s="4" t="s">
        <v>351</v>
      </c>
      <c r="H9" s="4" t="s">
        <v>15</v>
      </c>
      <c r="I9" s="4" t="s">
        <v>13</v>
      </c>
      <c r="J9" s="4">
        <v>9</v>
      </c>
      <c r="K9" s="4">
        <v>9514</v>
      </c>
      <c r="L9" s="4">
        <v>11329</v>
      </c>
      <c r="M9" s="4" t="s">
        <v>341</v>
      </c>
      <c r="N9" s="4" t="s">
        <v>340</v>
      </c>
    </row>
    <row r="10" spans="1:15">
      <c r="A10" s="4">
        <v>69793</v>
      </c>
      <c r="B10" s="4" t="s">
        <v>11</v>
      </c>
      <c r="C10" s="4" t="s">
        <v>285</v>
      </c>
      <c r="D10" s="4" t="s">
        <v>287</v>
      </c>
      <c r="E10" s="4" t="s">
        <v>329</v>
      </c>
      <c r="F10" s="5" t="str">
        <f>HYPERLINK("https://stat100.ameba.jp/tnk47/ratio20/illustrations/card/ill_69793_nojotaishi03.jpg", "■")</f>
        <v>■</v>
      </c>
      <c r="G10" s="4" t="s">
        <v>352</v>
      </c>
      <c r="H10" s="4" t="s">
        <v>15</v>
      </c>
      <c r="I10" s="4" t="s">
        <v>13</v>
      </c>
      <c r="J10" s="4">
        <v>9</v>
      </c>
      <c r="K10" s="4">
        <v>11329</v>
      </c>
      <c r="L10" s="4">
        <v>9514</v>
      </c>
      <c r="M10" s="4" t="s">
        <v>342</v>
      </c>
      <c r="N10" s="4" t="s">
        <v>28</v>
      </c>
    </row>
    <row r="11" spans="1:15">
      <c r="A11" s="4">
        <v>69753</v>
      </c>
      <c r="B11" s="4" t="s">
        <v>11</v>
      </c>
      <c r="C11" s="4" t="s">
        <v>319</v>
      </c>
      <c r="D11" s="4" t="s">
        <v>320</v>
      </c>
      <c r="E11" s="4" t="s">
        <v>330</v>
      </c>
      <c r="F11" s="5" t="str">
        <f>HYPERLINK("https://stat100.ameba.jp/tnk47/ratio20/illustrations/card/ill_69753_tougouheihachirou03.jpg", "■")</f>
        <v>■</v>
      </c>
      <c r="G11" s="4" t="s">
        <v>353</v>
      </c>
      <c r="H11" s="4" t="s">
        <v>15</v>
      </c>
      <c r="I11" s="4" t="s">
        <v>13</v>
      </c>
      <c r="J11" s="4">
        <v>6</v>
      </c>
      <c r="K11" s="4">
        <v>6343</v>
      </c>
      <c r="L11" s="4">
        <v>7552</v>
      </c>
      <c r="M11" s="4" t="s">
        <v>344</v>
      </c>
      <c r="N11" s="4" t="s">
        <v>343</v>
      </c>
    </row>
    <row r="13" spans="1:15">
      <c r="A13" s="4" t="s">
        <v>153</v>
      </c>
    </row>
    <row r="14" spans="1:15">
      <c r="A14" s="4">
        <v>51531</v>
      </c>
      <c r="B14" s="4" t="s">
        <v>9</v>
      </c>
      <c r="C14" s="4" t="s">
        <v>33</v>
      </c>
      <c r="D14" s="4" t="s">
        <v>141</v>
      </c>
      <c r="E14" s="4" t="s">
        <v>34</v>
      </c>
      <c r="F14" s="5" t="str">
        <f>HYPERLINK("https://stat100.ameba.jp/tnk47/ratio20/illustrations/card/ill_51531_shinseikitsunenoyomeiri01.jpg", "■")</f>
        <v>■</v>
      </c>
      <c r="G14" s="4" t="s">
        <v>124</v>
      </c>
      <c r="H14" s="4" t="s">
        <v>412</v>
      </c>
      <c r="I14" s="4" t="s">
        <v>400</v>
      </c>
      <c r="J14" s="4">
        <v>14</v>
      </c>
      <c r="K14" s="4">
        <v>20748</v>
      </c>
      <c r="L14" s="4">
        <v>23044</v>
      </c>
      <c r="M14" s="4" t="s">
        <v>39</v>
      </c>
      <c r="N14" s="4" t="s">
        <v>86</v>
      </c>
      <c r="O14" t="s">
        <v>933</v>
      </c>
    </row>
    <row r="15" spans="1:15">
      <c r="A15" s="4">
        <v>61731</v>
      </c>
      <c r="B15" s="4" t="s">
        <v>9</v>
      </c>
      <c r="C15" s="4" t="s">
        <v>142</v>
      </c>
      <c r="D15" s="4" t="s">
        <v>143</v>
      </c>
      <c r="E15" s="4" t="s">
        <v>35</v>
      </c>
      <c r="F15" s="5" t="str">
        <f>HYPERLINK("https://stat100.ameba.jp/tnk47/ratio20/illustrations/card/ill_61731_shinseigakumonnokamisamasugawaramichizane01.jpg", "■")</f>
        <v>■</v>
      </c>
      <c r="G15" s="4" t="s">
        <v>125</v>
      </c>
      <c r="H15" s="4" t="s">
        <v>412</v>
      </c>
      <c r="I15" s="4" t="s">
        <v>977</v>
      </c>
      <c r="J15" s="4">
        <v>14</v>
      </c>
      <c r="K15" s="4">
        <v>23044</v>
      </c>
      <c r="L15" s="4">
        <v>20748</v>
      </c>
      <c r="M15" s="4" t="s">
        <v>38</v>
      </c>
      <c r="N15" s="4" t="s">
        <v>87</v>
      </c>
      <c r="O15" t="s">
        <v>934</v>
      </c>
    </row>
    <row r="16" spans="1:15">
      <c r="A16" s="4">
        <v>65051</v>
      </c>
      <c r="B16" s="4" t="s">
        <v>9</v>
      </c>
      <c r="C16" s="4" t="s">
        <v>33</v>
      </c>
      <c r="D16" s="4" t="s">
        <v>144</v>
      </c>
      <c r="E16" s="4" t="s">
        <v>36</v>
      </c>
      <c r="F16" s="5" t="str">
        <f>HYPERLINK("https://stat100.ameba.jp/tnk47/ratio20/illustrations/card/ill_65051_karuizawakogen01.jpg", "■")</f>
        <v>■</v>
      </c>
      <c r="G16" s="4" t="s">
        <v>126</v>
      </c>
      <c r="H16" s="4" t="s">
        <v>412</v>
      </c>
      <c r="I16" s="4" t="s">
        <v>977</v>
      </c>
      <c r="J16" s="4">
        <v>14</v>
      </c>
      <c r="K16" s="4">
        <v>23044</v>
      </c>
      <c r="L16" s="4">
        <v>20748</v>
      </c>
      <c r="M16" s="4" t="s">
        <v>37</v>
      </c>
      <c r="N16" s="4" t="s">
        <v>88</v>
      </c>
      <c r="O16" t="s">
        <v>935</v>
      </c>
    </row>
    <row r="17" spans="1:14">
      <c r="A17" s="4">
        <v>44311</v>
      </c>
      <c r="B17" s="4" t="s">
        <v>9</v>
      </c>
      <c r="C17" s="4" t="s">
        <v>145</v>
      </c>
      <c r="D17" s="4" t="s">
        <v>146</v>
      </c>
      <c r="E17" s="4" t="s">
        <v>134</v>
      </c>
      <c r="F17" s="5" t="str">
        <f>HYPERLINK("https://stat100.ameba.jp/tnk47/ratio20/illustrations/card/ill_44311_shinseitoshusaisharaku01.jpg", "■")</f>
        <v>■</v>
      </c>
      <c r="G17" s="4" t="s">
        <v>127</v>
      </c>
      <c r="H17" s="4" t="s">
        <v>412</v>
      </c>
      <c r="I17" s="4" t="s">
        <v>977</v>
      </c>
      <c r="J17" s="4">
        <v>14</v>
      </c>
      <c r="K17" s="4">
        <v>23044</v>
      </c>
      <c r="L17" s="4">
        <v>20748</v>
      </c>
      <c r="M17" s="4" t="s">
        <v>40</v>
      </c>
      <c r="N17" s="4" t="s">
        <v>116</v>
      </c>
    </row>
    <row r="18" spans="1:14">
      <c r="A18" s="4">
        <v>45221</v>
      </c>
      <c r="B18" s="4" t="s">
        <v>9</v>
      </c>
      <c r="C18" s="4" t="s">
        <v>147</v>
      </c>
      <c r="D18" s="4" t="s">
        <v>148</v>
      </c>
      <c r="E18" s="4" t="s">
        <v>135</v>
      </c>
      <c r="F18" s="5" t="str">
        <f>HYPERLINK("https://stat100.ameba.jp/tnk47/ratio20/illustrations/card/ill_45221_shinseiamaterasu01.jpg", "■")</f>
        <v>■</v>
      </c>
      <c r="G18" s="4" t="s">
        <v>128</v>
      </c>
      <c r="H18" s="4" t="s">
        <v>123</v>
      </c>
      <c r="I18" s="4" t="s">
        <v>53</v>
      </c>
      <c r="J18" s="4">
        <v>14</v>
      </c>
      <c r="K18" s="4">
        <v>23044</v>
      </c>
      <c r="L18" s="4">
        <v>20748</v>
      </c>
      <c r="M18" s="4" t="s">
        <v>41</v>
      </c>
      <c r="N18" s="4" t="s">
        <v>117</v>
      </c>
    </row>
    <row r="19" spans="1:14">
      <c r="A19" s="4">
        <v>45311</v>
      </c>
      <c r="B19" s="4" t="s">
        <v>9</v>
      </c>
      <c r="C19" s="4" t="s">
        <v>149</v>
      </c>
      <c r="D19" s="4" t="s">
        <v>150</v>
      </c>
      <c r="E19" s="4" t="s">
        <v>136</v>
      </c>
      <c r="F19" s="5" t="str">
        <f>HYPERLINK("https://stat100.ameba.jp/tnk47/ratio20/illustrations/card/ill_45311_shinseikushikatsuchan01.jpg", "■")</f>
        <v>■</v>
      </c>
      <c r="G19" s="4" t="s">
        <v>129</v>
      </c>
      <c r="H19" s="4" t="s">
        <v>412</v>
      </c>
      <c r="I19" s="4" t="s">
        <v>400</v>
      </c>
      <c r="J19" s="4">
        <v>14</v>
      </c>
      <c r="K19" s="4">
        <v>23044</v>
      </c>
      <c r="L19" s="4">
        <v>20748</v>
      </c>
      <c r="M19" s="4" t="s">
        <v>42</v>
      </c>
      <c r="N19" s="4" t="s">
        <v>118</v>
      </c>
    </row>
    <row r="20" spans="1:14">
      <c r="A20" s="4">
        <v>47291</v>
      </c>
      <c r="B20" s="4" t="s">
        <v>9</v>
      </c>
      <c r="C20" s="4" t="s">
        <v>149</v>
      </c>
      <c r="D20" s="4" t="s">
        <v>141</v>
      </c>
      <c r="E20" s="4" t="s">
        <v>137</v>
      </c>
      <c r="F20" s="5" t="str">
        <f>HYPERLINK("https://stat100.ameba.jp/tnk47/ratio20/illustrations/card/ill_47291_shinseioeyamaonidensetsuminamotonoyorimitsu01.jpg", "■")</f>
        <v>■</v>
      </c>
      <c r="G20" s="4" t="s">
        <v>130</v>
      </c>
      <c r="H20" s="4" t="s">
        <v>412</v>
      </c>
      <c r="I20" s="4" t="s">
        <v>400</v>
      </c>
      <c r="J20" s="4">
        <v>14</v>
      </c>
      <c r="K20" s="4">
        <v>20748</v>
      </c>
      <c r="L20" s="4">
        <v>23044</v>
      </c>
      <c r="M20" s="4" t="s">
        <v>43</v>
      </c>
      <c r="N20" s="4" t="s">
        <v>119</v>
      </c>
    </row>
    <row r="21" spans="1:14">
      <c r="A21" s="4">
        <v>48071</v>
      </c>
      <c r="B21" s="4" t="s">
        <v>9</v>
      </c>
      <c r="C21" s="4" t="s">
        <v>151</v>
      </c>
      <c r="D21" s="4" t="s">
        <v>144</v>
      </c>
      <c r="E21" s="4" t="s">
        <v>138</v>
      </c>
      <c r="F21" s="5" t="str">
        <f>HYPERLINK("https://stat100.ameba.jp/tnk47/ratio20/illustrations/card/ill_48071_shinseiseiyaakarengasokochan01.jpg", "■")</f>
        <v>■</v>
      </c>
      <c r="G21" s="4" t="s">
        <v>131</v>
      </c>
      <c r="H21" s="4" t="s">
        <v>412</v>
      </c>
      <c r="I21" s="4" t="s">
        <v>400</v>
      </c>
      <c r="J21" s="4">
        <v>14</v>
      </c>
      <c r="K21" s="4">
        <v>20748</v>
      </c>
      <c r="L21" s="4">
        <v>23044</v>
      </c>
      <c r="M21" s="4" t="s">
        <v>44</v>
      </c>
      <c r="N21" s="4" t="s">
        <v>120</v>
      </c>
    </row>
    <row r="22" spans="1:14">
      <c r="A22" s="4">
        <v>48511</v>
      </c>
      <c r="B22" s="4" t="s">
        <v>9</v>
      </c>
      <c r="C22" s="4" t="s">
        <v>142</v>
      </c>
      <c r="D22" s="4" t="s">
        <v>143</v>
      </c>
      <c r="E22" s="4" t="s">
        <v>139</v>
      </c>
      <c r="F22" s="5" t="str">
        <f>HYPERLINK("https://stat100.ameba.jp/tnk47/ratio20/illustrations/card/ill_48511_shinseishimaduyoshihiro01.jpg", "■")</f>
        <v>■</v>
      </c>
      <c r="G22" s="4" t="s">
        <v>132</v>
      </c>
      <c r="H22" s="4" t="s">
        <v>412</v>
      </c>
      <c r="I22" s="4" t="s">
        <v>400</v>
      </c>
      <c r="J22" s="4">
        <v>14</v>
      </c>
      <c r="K22" s="4">
        <v>20748</v>
      </c>
      <c r="L22" s="4">
        <v>23044</v>
      </c>
      <c r="M22" s="4" t="s">
        <v>45</v>
      </c>
      <c r="N22" s="4" t="s">
        <v>121</v>
      </c>
    </row>
    <row r="23" spans="1:14">
      <c r="A23" s="4">
        <v>49541</v>
      </c>
      <c r="B23" s="4" t="s">
        <v>9</v>
      </c>
      <c r="C23" s="4" t="s">
        <v>149</v>
      </c>
      <c r="D23" s="4" t="s">
        <v>152</v>
      </c>
      <c r="E23" s="4" t="s">
        <v>140</v>
      </c>
      <c r="F23" s="5" t="str">
        <f>HYPERLINK("https://stat100.ameba.jp/tnk47/ratio20/illustrations/card/ill_49541_shinseishichiseikenshoutokutaishi01.jpg", "■")</f>
        <v>■</v>
      </c>
      <c r="G23" s="4" t="s">
        <v>133</v>
      </c>
      <c r="H23" s="4" t="s">
        <v>412</v>
      </c>
      <c r="I23" s="4" t="s">
        <v>977</v>
      </c>
      <c r="J23" s="4">
        <v>14</v>
      </c>
      <c r="K23" s="4">
        <v>23044</v>
      </c>
      <c r="L23" s="4">
        <v>20748</v>
      </c>
      <c r="M23" s="4" t="s">
        <v>46</v>
      </c>
      <c r="N23" s="4" t="s">
        <v>122</v>
      </c>
    </row>
  </sheetData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EF4BC-4EAC-4D5E-B5E2-8803B9EE37C8}">
  <dimension ref="A1:O23"/>
  <sheetViews>
    <sheetView zoomScale="55" zoomScaleNormal="55" workbookViewId="0">
      <pane ySplit="1" topLeftCell="A2" activePane="bottomLeft" state="frozen"/>
      <selection activeCell="O1" sqref="O1"/>
      <selection pane="bottomLeft"/>
    </sheetView>
  </sheetViews>
  <sheetFormatPr defaultColWidth="8.9140625" defaultRowHeight="18"/>
  <cols>
    <col min="1" max="1" width="6.4140625" style="4" customWidth="1"/>
    <col min="2" max="2" width="3.9140625" style="4" customWidth="1"/>
    <col min="3" max="3" width="12.25" style="4" customWidth="1"/>
    <col min="4" max="4" width="5.4140625" style="4" customWidth="1"/>
    <col min="5" max="5" width="31" style="4" customWidth="1"/>
    <col min="6" max="6" width="3.9140625" style="4" customWidth="1"/>
    <col min="7" max="7" width="30.9140625" style="4" hidden="1" customWidth="1"/>
    <col min="8" max="8" width="12.9140625" style="4" hidden="1" customWidth="1"/>
    <col min="9" max="9" width="17.33203125" style="4" hidden="1" customWidth="1"/>
    <col min="10" max="10" width="3.75" style="4" customWidth="1"/>
    <col min="11" max="12" width="7.08203125" style="4" customWidth="1"/>
    <col min="13" max="13" width="30.9140625" style="4" hidden="1" customWidth="1"/>
    <col min="14" max="14" width="71" style="4" customWidth="1"/>
    <col min="15" max="15" width="25.9140625" style="4" customWidth="1"/>
    <col min="16" max="16384" width="8.9140625" style="4"/>
  </cols>
  <sheetData>
    <row r="1" spans="1:15" s="1" customFormat="1">
      <c r="A1" s="2" t="s">
        <v>92</v>
      </c>
      <c r="B1" s="2" t="s">
        <v>26</v>
      </c>
      <c r="C1" s="2" t="s">
        <v>19</v>
      </c>
      <c r="D1" s="2" t="s">
        <v>20</v>
      </c>
      <c r="E1" s="2" t="s">
        <v>21</v>
      </c>
      <c r="F1" s="2" t="s">
        <v>93</v>
      </c>
      <c r="G1" s="2" t="s">
        <v>94</v>
      </c>
      <c r="H1" s="3" t="s">
        <v>30</v>
      </c>
      <c r="I1" s="3" t="s">
        <v>22</v>
      </c>
      <c r="J1" s="3" t="s">
        <v>78</v>
      </c>
      <c r="K1" s="3" t="s">
        <v>23</v>
      </c>
      <c r="L1" s="3" t="s">
        <v>24</v>
      </c>
      <c r="M1" s="3" t="s">
        <v>25</v>
      </c>
      <c r="N1" s="3" t="s">
        <v>480</v>
      </c>
      <c r="O1" s="3" t="s">
        <v>936</v>
      </c>
    </row>
    <row r="2" spans="1:15">
      <c r="E2" s="5"/>
      <c r="F2" s="5"/>
    </row>
    <row r="3" spans="1:15">
      <c r="A3" s="4">
        <v>70563</v>
      </c>
      <c r="B3" s="4" t="s">
        <v>95</v>
      </c>
      <c r="C3" s="4" t="s">
        <v>179</v>
      </c>
      <c r="D3" s="4" t="s">
        <v>186</v>
      </c>
      <c r="E3" s="4" t="s">
        <v>270</v>
      </c>
      <c r="F3" s="5" t="str">
        <f>HYPERLINK("https://stat100.ameba.jp/tnk47/ratio20/illustrations/card/ill_70563_eishokotaigo03.jpg", "■")</f>
        <v>■</v>
      </c>
      <c r="G3" s="4" t="s">
        <v>391</v>
      </c>
      <c r="H3" s="4" t="s">
        <v>262</v>
      </c>
      <c r="I3" s="4" t="s">
        <v>930</v>
      </c>
      <c r="J3" s="4">
        <v>11</v>
      </c>
      <c r="K3" s="4">
        <v>42967</v>
      </c>
      <c r="L3" s="4">
        <v>39934</v>
      </c>
      <c r="M3" s="4" t="s">
        <v>383</v>
      </c>
      <c r="N3" s="4" t="s">
        <v>361</v>
      </c>
      <c r="O3" s="4" t="s">
        <v>973</v>
      </c>
    </row>
    <row r="4" spans="1:15">
      <c r="A4" s="4">
        <v>70623</v>
      </c>
      <c r="B4" s="4" t="s">
        <v>9</v>
      </c>
      <c r="C4" s="4" t="s">
        <v>149</v>
      </c>
      <c r="D4" s="4" t="s">
        <v>146</v>
      </c>
      <c r="E4" s="4" t="s">
        <v>271</v>
      </c>
      <c r="F4" s="5" t="str">
        <f>HYPERLINK("https://stat100.ameba.jp/tnk47/ratio20/illustrations/card/ill_70623_komyokogo03.jpg", "■")</f>
        <v>■</v>
      </c>
      <c r="G4" s="4" t="s">
        <v>392</v>
      </c>
      <c r="H4" s="4" t="s">
        <v>263</v>
      </c>
      <c r="I4" s="4" t="s">
        <v>17</v>
      </c>
      <c r="J4" s="4">
        <v>13</v>
      </c>
      <c r="K4" s="4">
        <v>33384</v>
      </c>
      <c r="L4" s="4">
        <v>30283</v>
      </c>
      <c r="M4" s="4" t="s">
        <v>384</v>
      </c>
      <c r="N4" s="4" t="s">
        <v>362</v>
      </c>
    </row>
    <row r="5" spans="1:15">
      <c r="A5" s="4">
        <v>71933</v>
      </c>
      <c r="B5" s="4" t="s">
        <v>9</v>
      </c>
      <c r="C5" s="4" t="s">
        <v>151</v>
      </c>
      <c r="D5" s="4" t="s">
        <v>186</v>
      </c>
      <c r="E5" s="4" t="s">
        <v>272</v>
      </c>
      <c r="F5" s="5" t="str">
        <f>HYPERLINK("https://stat100.ameba.jp/tnk47/ratio20/illustrations/card/ill_71933_tofukumonin03.jpg", "■")</f>
        <v>■</v>
      </c>
      <c r="G5" s="4" t="s">
        <v>393</v>
      </c>
      <c r="H5" s="4" t="s">
        <v>264</v>
      </c>
      <c r="I5" s="4" t="s">
        <v>18</v>
      </c>
      <c r="J5" s="4">
        <v>7</v>
      </c>
      <c r="K5" s="4">
        <v>18818</v>
      </c>
      <c r="L5" s="4">
        <v>20748</v>
      </c>
      <c r="M5" s="4" t="s">
        <v>265</v>
      </c>
      <c r="N5" s="4" t="s">
        <v>363</v>
      </c>
    </row>
    <row r="6" spans="1:15">
      <c r="A6" s="4">
        <v>71943</v>
      </c>
      <c r="B6" s="4" t="s">
        <v>9</v>
      </c>
      <c r="C6" s="4" t="s">
        <v>149</v>
      </c>
      <c r="D6" s="4" t="s">
        <v>186</v>
      </c>
      <c r="E6" s="4" t="s">
        <v>273</v>
      </c>
      <c r="F6" s="5" t="str">
        <f>HYPERLINK("https://stat100.ameba.jp/tnk47/ratio20/illustrations/card/ill_71943_anoyasuko03.jpg", "■")</f>
        <v>■</v>
      </c>
      <c r="G6" s="4" t="s">
        <v>394</v>
      </c>
      <c r="H6" s="4" t="s">
        <v>99</v>
      </c>
      <c r="I6" s="4" t="s">
        <v>12</v>
      </c>
      <c r="J6" s="4">
        <v>10</v>
      </c>
      <c r="K6" s="4">
        <v>29640</v>
      </c>
      <c r="L6" s="4">
        <v>26884</v>
      </c>
      <c r="M6" s="4" t="s">
        <v>385</v>
      </c>
      <c r="N6" s="4" t="s">
        <v>364</v>
      </c>
    </row>
    <row r="7" spans="1:15">
      <c r="A7" s="4">
        <v>70603</v>
      </c>
      <c r="B7" s="4" t="s">
        <v>10</v>
      </c>
      <c r="C7" s="4" t="s">
        <v>145</v>
      </c>
      <c r="D7" s="4" t="s">
        <v>186</v>
      </c>
      <c r="E7" s="4" t="s">
        <v>274</v>
      </c>
      <c r="F7" s="5" t="str">
        <f>HYPERLINK("https://stat100.ameba.jp/tnk47/ratio20/illustrations/card/ill_70603_kohanshiromatsuritokuhime03.jpg", "■")</f>
        <v>■</v>
      </c>
      <c r="G7" s="4" t="s">
        <v>395</v>
      </c>
      <c r="H7" s="4" t="s">
        <v>100</v>
      </c>
      <c r="I7" s="4" t="s">
        <v>16</v>
      </c>
      <c r="J7" s="4">
        <v>9</v>
      </c>
      <c r="K7" s="4">
        <v>18712</v>
      </c>
      <c r="L7" s="4">
        <v>15559</v>
      </c>
      <c r="M7" s="4" t="s">
        <v>386</v>
      </c>
      <c r="N7" s="4" t="s">
        <v>266</v>
      </c>
    </row>
    <row r="8" spans="1:15">
      <c r="A8" s="4">
        <v>70593</v>
      </c>
      <c r="B8" s="4" t="s">
        <v>10</v>
      </c>
      <c r="C8" s="4" t="s">
        <v>181</v>
      </c>
      <c r="D8" s="4" t="s">
        <v>186</v>
      </c>
      <c r="E8" s="4" t="s">
        <v>275</v>
      </c>
      <c r="F8" s="5" t="str">
        <f>HYPERLINK("https://stat100.ameba.jp/tnk47/ratio20/illustrations/card/ill_70593_yoshihime03.jpg", "■")</f>
        <v>■</v>
      </c>
      <c r="G8" s="4" t="s">
        <v>396</v>
      </c>
      <c r="H8" s="4" t="s">
        <v>101</v>
      </c>
      <c r="I8" s="4" t="s">
        <v>14</v>
      </c>
      <c r="J8" s="4">
        <v>8</v>
      </c>
      <c r="K8" s="4">
        <v>13830</v>
      </c>
      <c r="L8" s="4">
        <v>16633</v>
      </c>
      <c r="M8" s="4" t="s">
        <v>387</v>
      </c>
      <c r="N8" s="4" t="s">
        <v>267</v>
      </c>
    </row>
    <row r="9" spans="1:15">
      <c r="A9" s="4">
        <v>70643</v>
      </c>
      <c r="B9" s="4" t="s">
        <v>11</v>
      </c>
      <c r="C9" s="4" t="s">
        <v>276</v>
      </c>
      <c r="D9" s="4" t="s">
        <v>144</v>
      </c>
      <c r="E9" s="4" t="s">
        <v>277</v>
      </c>
      <c r="F9" s="5" t="str">
        <f>HYPERLINK("https://stat100.ameba.jp/tnk47/ratio20/illustrations/card/ill_70643_akashitakochan03.jpg", "■")</f>
        <v>■</v>
      </c>
      <c r="G9" s="4" t="s">
        <v>397</v>
      </c>
      <c r="H9" s="4" t="s">
        <v>15</v>
      </c>
      <c r="I9" s="4" t="s">
        <v>13</v>
      </c>
      <c r="J9" s="4">
        <v>9</v>
      </c>
      <c r="K9" s="4">
        <v>9514</v>
      </c>
      <c r="L9" s="4">
        <v>11329</v>
      </c>
      <c r="M9" s="4" t="s">
        <v>388</v>
      </c>
      <c r="N9" s="4" t="s">
        <v>268</v>
      </c>
    </row>
    <row r="10" spans="1:15">
      <c r="A10" s="4">
        <v>70653</v>
      </c>
      <c r="B10" s="4" t="s">
        <v>11</v>
      </c>
      <c r="C10" s="4" t="s">
        <v>278</v>
      </c>
      <c r="D10" s="4" t="s">
        <v>150</v>
      </c>
      <c r="E10" s="4" t="s">
        <v>279</v>
      </c>
      <c r="F10" s="5" t="str">
        <f>HYPERLINK("https://stat100.ameba.jp/tnk47/ratio20/illustrations/card/ill_70653_yanagibattochan03.jpg", "■")</f>
        <v>■</v>
      </c>
      <c r="G10" s="4" t="s">
        <v>398</v>
      </c>
      <c r="H10" s="4" t="s">
        <v>15</v>
      </c>
      <c r="I10" s="4" t="s">
        <v>13</v>
      </c>
      <c r="J10" s="4">
        <v>9</v>
      </c>
      <c r="K10" s="4">
        <v>11329</v>
      </c>
      <c r="L10" s="4">
        <v>9514</v>
      </c>
      <c r="M10" s="4" t="s">
        <v>389</v>
      </c>
      <c r="N10" s="4" t="s">
        <v>269</v>
      </c>
    </row>
    <row r="11" spans="1:15">
      <c r="A11" s="4">
        <v>70613</v>
      </c>
      <c r="B11" s="4" t="s">
        <v>11</v>
      </c>
      <c r="C11" s="4" t="s">
        <v>280</v>
      </c>
      <c r="D11" s="4" t="s">
        <v>186</v>
      </c>
      <c r="E11" s="4" t="s">
        <v>281</v>
      </c>
      <c r="F11" s="5" t="str">
        <f>HYPERLINK("https://stat100.ameba.jp/tnk47/ratio20/illustrations/card/ill_70613_nouhime03.jpg", "■")</f>
        <v>■</v>
      </c>
      <c r="G11" s="4" t="s">
        <v>399</v>
      </c>
      <c r="H11" s="4" t="s">
        <v>15</v>
      </c>
      <c r="I11" s="4" t="s">
        <v>13</v>
      </c>
      <c r="J11" s="4">
        <v>6</v>
      </c>
      <c r="K11" s="4">
        <v>6343</v>
      </c>
      <c r="L11" s="4">
        <v>7552</v>
      </c>
      <c r="M11" s="4" t="s">
        <v>390</v>
      </c>
      <c r="N11" s="4" t="s">
        <v>111</v>
      </c>
    </row>
    <row r="13" spans="1:15">
      <c r="A13" s="4" t="s">
        <v>153</v>
      </c>
    </row>
    <row r="14" spans="1:15">
      <c r="A14" s="4">
        <v>51531</v>
      </c>
      <c r="B14" s="4" t="s">
        <v>9</v>
      </c>
      <c r="C14" s="4" t="s">
        <v>33</v>
      </c>
      <c r="D14" s="4" t="s">
        <v>141</v>
      </c>
      <c r="E14" s="4" t="s">
        <v>34</v>
      </c>
      <c r="F14" s="5" t="str">
        <f>HYPERLINK("https://stat100.ameba.jp/tnk47/ratio20/illustrations/card/ill_51531_shinseikitsunenoyomeiri01.jpg", "■")</f>
        <v>■</v>
      </c>
      <c r="G14" s="4" t="s">
        <v>124</v>
      </c>
      <c r="H14" s="4" t="s">
        <v>412</v>
      </c>
      <c r="I14" s="4" t="s">
        <v>400</v>
      </c>
      <c r="J14" s="4">
        <v>14</v>
      </c>
      <c r="K14" s="4">
        <v>20748</v>
      </c>
      <c r="L14" s="4">
        <v>23044</v>
      </c>
      <c r="M14" s="4" t="s">
        <v>39</v>
      </c>
      <c r="N14" s="4" t="s">
        <v>86</v>
      </c>
      <c r="O14" t="s">
        <v>933</v>
      </c>
    </row>
    <row r="15" spans="1:15">
      <c r="A15" s="4">
        <v>61731</v>
      </c>
      <c r="B15" s="4" t="s">
        <v>9</v>
      </c>
      <c r="C15" s="4" t="s">
        <v>142</v>
      </c>
      <c r="D15" s="4" t="s">
        <v>143</v>
      </c>
      <c r="E15" s="4" t="s">
        <v>35</v>
      </c>
      <c r="F15" s="5" t="str">
        <f>HYPERLINK("https://stat100.ameba.jp/tnk47/ratio20/illustrations/card/ill_61731_shinseigakumonnokamisamasugawaramichizane01.jpg", "■")</f>
        <v>■</v>
      </c>
      <c r="G15" s="4" t="s">
        <v>125</v>
      </c>
      <c r="H15" s="4" t="s">
        <v>412</v>
      </c>
      <c r="I15" s="4" t="s">
        <v>977</v>
      </c>
      <c r="J15" s="4">
        <v>14</v>
      </c>
      <c r="K15" s="4">
        <v>23044</v>
      </c>
      <c r="L15" s="4">
        <v>20748</v>
      </c>
      <c r="M15" s="4" t="s">
        <v>38</v>
      </c>
      <c r="N15" s="4" t="s">
        <v>87</v>
      </c>
      <c r="O15" t="s">
        <v>934</v>
      </c>
    </row>
    <row r="16" spans="1:15">
      <c r="A16" s="4">
        <v>65051</v>
      </c>
      <c r="B16" s="4" t="s">
        <v>9</v>
      </c>
      <c r="C16" s="4" t="s">
        <v>33</v>
      </c>
      <c r="D16" s="4" t="s">
        <v>144</v>
      </c>
      <c r="E16" s="4" t="s">
        <v>36</v>
      </c>
      <c r="F16" s="5" t="str">
        <f>HYPERLINK("https://stat100.ameba.jp/tnk47/ratio20/illustrations/card/ill_65051_karuizawakogen01.jpg", "■")</f>
        <v>■</v>
      </c>
      <c r="G16" s="4" t="s">
        <v>126</v>
      </c>
      <c r="H16" s="4" t="s">
        <v>412</v>
      </c>
      <c r="I16" s="4" t="s">
        <v>977</v>
      </c>
      <c r="J16" s="4">
        <v>14</v>
      </c>
      <c r="K16" s="4">
        <v>23044</v>
      </c>
      <c r="L16" s="4">
        <v>20748</v>
      </c>
      <c r="M16" s="4" t="s">
        <v>37</v>
      </c>
      <c r="N16" s="4" t="s">
        <v>88</v>
      </c>
      <c r="O16" t="s">
        <v>935</v>
      </c>
    </row>
    <row r="17" spans="1:14">
      <c r="A17" s="4">
        <v>44311</v>
      </c>
      <c r="B17" s="4" t="s">
        <v>9</v>
      </c>
      <c r="C17" s="4" t="s">
        <v>145</v>
      </c>
      <c r="D17" s="4" t="s">
        <v>146</v>
      </c>
      <c r="E17" s="4" t="s">
        <v>134</v>
      </c>
      <c r="F17" s="5" t="str">
        <f>HYPERLINK("https://stat100.ameba.jp/tnk47/ratio20/illustrations/card/ill_44311_shinseitoshusaisharaku01.jpg", "■")</f>
        <v>■</v>
      </c>
      <c r="G17" s="4" t="s">
        <v>127</v>
      </c>
      <c r="H17" s="4" t="s">
        <v>412</v>
      </c>
      <c r="I17" s="4" t="s">
        <v>977</v>
      </c>
      <c r="J17" s="4">
        <v>14</v>
      </c>
      <c r="K17" s="4">
        <v>23044</v>
      </c>
      <c r="L17" s="4">
        <v>20748</v>
      </c>
      <c r="M17" s="4" t="s">
        <v>40</v>
      </c>
      <c r="N17" s="4" t="s">
        <v>116</v>
      </c>
    </row>
    <row r="18" spans="1:14">
      <c r="A18" s="4">
        <v>45221</v>
      </c>
      <c r="B18" s="4" t="s">
        <v>9</v>
      </c>
      <c r="C18" s="4" t="s">
        <v>147</v>
      </c>
      <c r="D18" s="4" t="s">
        <v>148</v>
      </c>
      <c r="E18" s="4" t="s">
        <v>135</v>
      </c>
      <c r="F18" s="5" t="str">
        <f>HYPERLINK("https://stat100.ameba.jp/tnk47/ratio20/illustrations/card/ill_45221_shinseiamaterasu01.jpg", "■")</f>
        <v>■</v>
      </c>
      <c r="G18" s="4" t="s">
        <v>128</v>
      </c>
      <c r="H18" s="4" t="s">
        <v>412</v>
      </c>
      <c r="I18" s="4" t="s">
        <v>977</v>
      </c>
      <c r="J18" s="4">
        <v>14</v>
      </c>
      <c r="K18" s="4">
        <v>23044</v>
      </c>
      <c r="L18" s="4">
        <v>20748</v>
      </c>
      <c r="M18" s="4" t="s">
        <v>41</v>
      </c>
      <c r="N18" s="4" t="s">
        <v>117</v>
      </c>
    </row>
    <row r="19" spans="1:14">
      <c r="A19" s="4">
        <v>45311</v>
      </c>
      <c r="B19" s="4" t="s">
        <v>9</v>
      </c>
      <c r="C19" s="4" t="s">
        <v>149</v>
      </c>
      <c r="D19" s="4" t="s">
        <v>150</v>
      </c>
      <c r="E19" s="4" t="s">
        <v>136</v>
      </c>
      <c r="F19" s="5" t="str">
        <f>HYPERLINK("https://stat100.ameba.jp/tnk47/ratio20/illustrations/card/ill_45311_shinseikushikatsuchan01.jpg", "■")</f>
        <v>■</v>
      </c>
      <c r="G19" s="4" t="s">
        <v>129</v>
      </c>
      <c r="H19" s="4" t="s">
        <v>123</v>
      </c>
      <c r="I19" s="4" t="s">
        <v>53</v>
      </c>
      <c r="J19" s="4">
        <v>14</v>
      </c>
      <c r="K19" s="4">
        <v>23044</v>
      </c>
      <c r="L19" s="4">
        <v>20748</v>
      </c>
      <c r="M19" s="4" t="s">
        <v>42</v>
      </c>
      <c r="N19" s="4" t="s">
        <v>118</v>
      </c>
    </row>
    <row r="20" spans="1:14">
      <c r="A20" s="4">
        <v>47291</v>
      </c>
      <c r="B20" s="4" t="s">
        <v>9</v>
      </c>
      <c r="C20" s="4" t="s">
        <v>149</v>
      </c>
      <c r="D20" s="4" t="s">
        <v>141</v>
      </c>
      <c r="E20" s="4" t="s">
        <v>137</v>
      </c>
      <c r="F20" s="5" t="str">
        <f>HYPERLINK("https://stat100.ameba.jp/tnk47/ratio20/illustrations/card/ill_47291_shinseioeyamaonidensetsuminamotonoyorimitsu01.jpg", "■")</f>
        <v>■</v>
      </c>
      <c r="G20" s="4" t="s">
        <v>130</v>
      </c>
      <c r="H20" s="4" t="s">
        <v>412</v>
      </c>
      <c r="I20" s="4" t="s">
        <v>400</v>
      </c>
      <c r="J20" s="4">
        <v>14</v>
      </c>
      <c r="K20" s="4">
        <v>20748</v>
      </c>
      <c r="L20" s="4">
        <v>23044</v>
      </c>
      <c r="M20" s="4" t="s">
        <v>43</v>
      </c>
      <c r="N20" s="4" t="s">
        <v>119</v>
      </c>
    </row>
    <row r="21" spans="1:14">
      <c r="A21" s="4">
        <v>48071</v>
      </c>
      <c r="B21" s="4" t="s">
        <v>9</v>
      </c>
      <c r="C21" s="4" t="s">
        <v>151</v>
      </c>
      <c r="D21" s="4" t="s">
        <v>144</v>
      </c>
      <c r="E21" s="4" t="s">
        <v>138</v>
      </c>
      <c r="F21" s="5" t="str">
        <f>HYPERLINK("https://stat100.ameba.jp/tnk47/ratio20/illustrations/card/ill_48071_shinseiseiyaakarengasokochan01.jpg", "■")</f>
        <v>■</v>
      </c>
      <c r="G21" s="4" t="s">
        <v>131</v>
      </c>
      <c r="H21" s="4" t="s">
        <v>412</v>
      </c>
      <c r="I21" s="4" t="s">
        <v>400</v>
      </c>
      <c r="J21" s="4">
        <v>14</v>
      </c>
      <c r="K21" s="4">
        <v>20748</v>
      </c>
      <c r="L21" s="4">
        <v>23044</v>
      </c>
      <c r="M21" s="4" t="s">
        <v>44</v>
      </c>
      <c r="N21" s="4" t="s">
        <v>120</v>
      </c>
    </row>
    <row r="22" spans="1:14">
      <c r="A22" s="4">
        <v>48511</v>
      </c>
      <c r="B22" s="4" t="s">
        <v>9</v>
      </c>
      <c r="C22" s="4" t="s">
        <v>142</v>
      </c>
      <c r="D22" s="4" t="s">
        <v>143</v>
      </c>
      <c r="E22" s="4" t="s">
        <v>139</v>
      </c>
      <c r="F22" s="5" t="str">
        <f>HYPERLINK("https://stat100.ameba.jp/tnk47/ratio20/illustrations/card/ill_48511_shinseishimaduyoshihiro01.jpg", "■")</f>
        <v>■</v>
      </c>
      <c r="G22" s="4" t="s">
        <v>132</v>
      </c>
      <c r="H22" s="4" t="s">
        <v>412</v>
      </c>
      <c r="I22" s="4" t="s">
        <v>400</v>
      </c>
      <c r="J22" s="4">
        <v>14</v>
      </c>
      <c r="K22" s="4">
        <v>20748</v>
      </c>
      <c r="L22" s="4">
        <v>23044</v>
      </c>
      <c r="M22" s="4" t="s">
        <v>45</v>
      </c>
      <c r="N22" s="4" t="s">
        <v>121</v>
      </c>
    </row>
    <row r="23" spans="1:14">
      <c r="A23" s="4">
        <v>49541</v>
      </c>
      <c r="B23" s="4" t="s">
        <v>9</v>
      </c>
      <c r="C23" s="4" t="s">
        <v>149</v>
      </c>
      <c r="D23" s="4" t="s">
        <v>152</v>
      </c>
      <c r="E23" s="4" t="s">
        <v>140</v>
      </c>
      <c r="F23" s="5" t="str">
        <f>HYPERLINK("https://stat100.ameba.jp/tnk47/ratio20/illustrations/card/ill_49541_shinseishichiseikenshoutokutaishi01.jpg", "■")</f>
        <v>■</v>
      </c>
      <c r="G23" s="4" t="s">
        <v>133</v>
      </c>
      <c r="H23" s="4" t="s">
        <v>412</v>
      </c>
      <c r="I23" s="4" t="s">
        <v>977</v>
      </c>
      <c r="J23" s="4">
        <v>14</v>
      </c>
      <c r="K23" s="4">
        <v>23044</v>
      </c>
      <c r="L23" s="4">
        <v>20748</v>
      </c>
      <c r="M23" s="4" t="s">
        <v>46</v>
      </c>
      <c r="N23" s="4" t="s">
        <v>122</v>
      </c>
    </row>
  </sheetData>
  <phoneticPr fontId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5146B-5136-4349-95F8-536919A0D9E7}">
  <dimension ref="A1:O23"/>
  <sheetViews>
    <sheetView zoomScale="55" zoomScaleNormal="55" workbookViewId="0">
      <pane ySplit="1" topLeftCell="A2" activePane="bottomLeft" state="frozen"/>
      <selection activeCell="O1" sqref="O1"/>
      <selection pane="bottomLeft"/>
    </sheetView>
  </sheetViews>
  <sheetFormatPr defaultColWidth="8.9140625" defaultRowHeight="18"/>
  <cols>
    <col min="1" max="1" width="6.4140625" style="4" customWidth="1"/>
    <col min="2" max="2" width="3.9140625" style="4" customWidth="1"/>
    <col min="3" max="3" width="12.25" style="4" customWidth="1"/>
    <col min="4" max="4" width="5.4140625" style="4" customWidth="1"/>
    <col min="5" max="5" width="31" style="4" customWidth="1"/>
    <col min="6" max="6" width="3.9140625" style="4" customWidth="1"/>
    <col min="7" max="7" width="30.9140625" style="4" hidden="1" customWidth="1"/>
    <col min="8" max="8" width="12.9140625" style="4" hidden="1" customWidth="1"/>
    <col min="9" max="9" width="17.33203125" style="4" hidden="1" customWidth="1"/>
    <col min="10" max="10" width="3.75" style="4" customWidth="1"/>
    <col min="11" max="12" width="7.08203125" style="4" customWidth="1"/>
    <col min="13" max="13" width="30.9140625" style="4" hidden="1" customWidth="1"/>
    <col min="14" max="14" width="71" style="4" customWidth="1"/>
    <col min="15" max="15" width="25.9140625" style="4" customWidth="1"/>
    <col min="16" max="16384" width="8.9140625" style="4"/>
  </cols>
  <sheetData>
    <row r="1" spans="1:15" s="1" customFormat="1">
      <c r="A1" s="2" t="s">
        <v>92</v>
      </c>
      <c r="B1" s="2" t="s">
        <v>26</v>
      </c>
      <c r="C1" s="2" t="s">
        <v>19</v>
      </c>
      <c r="D1" s="2" t="s">
        <v>20</v>
      </c>
      <c r="E1" s="2" t="s">
        <v>21</v>
      </c>
      <c r="F1" s="2" t="s">
        <v>93</v>
      </c>
      <c r="G1" s="2" t="s">
        <v>94</v>
      </c>
      <c r="H1" s="3" t="s">
        <v>30</v>
      </c>
      <c r="I1" s="3" t="s">
        <v>22</v>
      </c>
      <c r="J1" s="3" t="s">
        <v>78</v>
      </c>
      <c r="K1" s="3" t="s">
        <v>23</v>
      </c>
      <c r="L1" s="3" t="s">
        <v>24</v>
      </c>
      <c r="M1" s="3" t="s">
        <v>25</v>
      </c>
      <c r="N1" s="3" t="s">
        <v>480</v>
      </c>
      <c r="O1" s="3" t="s">
        <v>936</v>
      </c>
    </row>
    <row r="2" spans="1:15">
      <c r="E2" s="5"/>
      <c r="F2" s="5"/>
    </row>
    <row r="3" spans="1:15">
      <c r="A3" s="4">
        <v>71513</v>
      </c>
      <c r="B3" s="4" t="s">
        <v>95</v>
      </c>
      <c r="C3" s="4" t="s">
        <v>27</v>
      </c>
      <c r="D3" s="4" t="s">
        <v>189</v>
      </c>
      <c r="E3" s="4" t="s">
        <v>250</v>
      </c>
      <c r="F3" s="5" t="str">
        <f>HYPERLINK("https://stat100.ameba.jp/tnk47/ratio20/illustrations/card/ill_71513_garei03.jpg", "■")</f>
        <v>■</v>
      </c>
      <c r="G3" s="4" t="s">
        <v>226</v>
      </c>
      <c r="H3" s="4" t="s">
        <v>170</v>
      </c>
      <c r="I3" s="4" t="s">
        <v>931</v>
      </c>
      <c r="J3" s="4">
        <v>11</v>
      </c>
      <c r="K3" s="4">
        <v>42623</v>
      </c>
      <c r="L3" s="4">
        <v>45832</v>
      </c>
      <c r="M3" s="4" t="s">
        <v>227</v>
      </c>
      <c r="N3" s="4" t="s">
        <v>365</v>
      </c>
    </row>
    <row r="4" spans="1:15">
      <c r="A4" s="4">
        <v>71573</v>
      </c>
      <c r="B4" s="4" t="s">
        <v>9</v>
      </c>
      <c r="C4" s="4" t="s">
        <v>181</v>
      </c>
      <c r="D4" s="4" t="s">
        <v>141</v>
      </c>
      <c r="E4" s="4" t="s">
        <v>251</v>
      </c>
      <c r="F4" s="5" t="str">
        <f>HYPERLINK("https://stat100.ameba.jp/tnk47/ratio20/illustrations/card/ill_71573_kitsunenohoju03.jpg", "■")</f>
        <v>■</v>
      </c>
      <c r="G4" s="4" t="s">
        <v>228</v>
      </c>
      <c r="H4" s="4" t="s">
        <v>229</v>
      </c>
      <c r="I4" s="4" t="s">
        <v>230</v>
      </c>
      <c r="J4" s="4">
        <v>13</v>
      </c>
      <c r="K4" s="4">
        <v>33384</v>
      </c>
      <c r="L4" s="4">
        <v>38532</v>
      </c>
      <c r="M4" s="4" t="s">
        <v>231</v>
      </c>
      <c r="N4" s="4" t="s">
        <v>366</v>
      </c>
    </row>
    <row r="5" spans="1:15">
      <c r="A5" s="4">
        <v>71523</v>
      </c>
      <c r="B5" s="4" t="s">
        <v>9</v>
      </c>
      <c r="C5" s="4" t="s">
        <v>252</v>
      </c>
      <c r="D5" s="4" t="s">
        <v>189</v>
      </c>
      <c r="E5" s="4" t="s">
        <v>253</v>
      </c>
      <c r="F5" s="5" t="str">
        <f>HYPERLINK("https://stat100.ameba.jp/tnk47/ratio20/illustrations/card/ill_71523_sakurameguriyaobikuni03.jpg", "■")</f>
        <v>■</v>
      </c>
      <c r="G5" s="4" t="s">
        <v>232</v>
      </c>
      <c r="H5" s="4" t="s">
        <v>233</v>
      </c>
      <c r="I5" s="4" t="s">
        <v>234</v>
      </c>
      <c r="J5" s="4">
        <v>7</v>
      </c>
      <c r="K5" s="4">
        <v>18818</v>
      </c>
      <c r="L5" s="4">
        <v>20748</v>
      </c>
      <c r="M5" s="4" t="s">
        <v>235</v>
      </c>
      <c r="N5" s="4" t="s">
        <v>367</v>
      </c>
    </row>
    <row r="6" spans="1:15">
      <c r="A6" s="4">
        <v>71533</v>
      </c>
      <c r="B6" s="4" t="s">
        <v>9</v>
      </c>
      <c r="C6" s="4" t="s">
        <v>142</v>
      </c>
      <c r="D6" s="4" t="s">
        <v>189</v>
      </c>
      <c r="E6" s="4" t="s">
        <v>254</v>
      </c>
      <c r="F6" s="5" t="str">
        <f>HYPERLINK("https://stat100.ameba.jp/tnk47/ratio20/illustrations/card/ill_71533_inenbi03.jpg", "■")</f>
        <v>■</v>
      </c>
      <c r="G6" s="4" t="s">
        <v>236</v>
      </c>
      <c r="H6" s="4" t="s">
        <v>99</v>
      </c>
      <c r="I6" s="4" t="s">
        <v>12</v>
      </c>
      <c r="J6" s="4">
        <v>10</v>
      </c>
      <c r="K6" s="4">
        <v>29640</v>
      </c>
      <c r="L6" s="4">
        <v>26884</v>
      </c>
      <c r="M6" s="4" t="s">
        <v>237</v>
      </c>
      <c r="N6" s="4" t="s">
        <v>368</v>
      </c>
    </row>
    <row r="7" spans="1:15">
      <c r="A7" s="4">
        <v>71553</v>
      </c>
      <c r="B7" s="4" t="s">
        <v>10</v>
      </c>
      <c r="C7" s="4" t="s">
        <v>145</v>
      </c>
      <c r="D7" s="4" t="s">
        <v>189</v>
      </c>
      <c r="E7" s="4" t="s">
        <v>255</v>
      </c>
      <c r="F7" s="5" t="str">
        <f>HYPERLINK("https://stat100.ameba.jp/tnk47/ratio20/illustrations/card/ill_71553_nureonago03.jpg", "■")</f>
        <v>■</v>
      </c>
      <c r="G7" s="4" t="s">
        <v>238</v>
      </c>
      <c r="H7" s="4" t="s">
        <v>100</v>
      </c>
      <c r="I7" s="4" t="s">
        <v>16</v>
      </c>
      <c r="J7" s="4">
        <v>9</v>
      </c>
      <c r="K7" s="4">
        <v>15559</v>
      </c>
      <c r="L7" s="4">
        <v>18712</v>
      </c>
      <c r="M7" s="4" t="s">
        <v>239</v>
      </c>
      <c r="N7" s="4" t="s">
        <v>109</v>
      </c>
    </row>
    <row r="8" spans="1:15">
      <c r="A8" s="4">
        <v>71543</v>
      </c>
      <c r="B8" s="4" t="s">
        <v>10</v>
      </c>
      <c r="C8" s="4" t="s">
        <v>151</v>
      </c>
      <c r="D8" s="4" t="s">
        <v>189</v>
      </c>
      <c r="E8" s="4" t="s">
        <v>256</v>
      </c>
      <c r="F8" s="5" t="str">
        <f>HYPERLINK("https://stat100.ameba.jp/tnk47/ratio20/illustrations/card/ill_71543_boreiyassa03.jpg", "■")</f>
        <v>■</v>
      </c>
      <c r="G8" s="4" t="s">
        <v>240</v>
      </c>
      <c r="H8" s="4" t="s">
        <v>101</v>
      </c>
      <c r="I8" s="4" t="s">
        <v>14</v>
      </c>
      <c r="J8" s="4">
        <v>8</v>
      </c>
      <c r="K8" s="4">
        <v>13830</v>
      </c>
      <c r="L8" s="4">
        <v>16633</v>
      </c>
      <c r="M8" s="4" t="s">
        <v>241</v>
      </c>
      <c r="N8" s="4" t="s">
        <v>369</v>
      </c>
    </row>
    <row r="9" spans="1:15">
      <c r="A9" s="4">
        <v>71593</v>
      </c>
      <c r="B9" s="4" t="s">
        <v>11</v>
      </c>
      <c r="C9" s="4" t="s">
        <v>257</v>
      </c>
      <c r="D9" s="4" t="s">
        <v>141</v>
      </c>
      <c r="E9" s="4" t="s">
        <v>258</v>
      </c>
      <c r="F9" s="5" t="str">
        <f>HYPERLINK("https://stat100.ameba.jp/tnk47/ratio20/illustrations/card/ill_71593_kagoikenokitsune03.jpg", "■")</f>
        <v>■</v>
      </c>
      <c r="G9" s="4" t="s">
        <v>242</v>
      </c>
      <c r="H9" s="4" t="s">
        <v>15</v>
      </c>
      <c r="I9" s="4" t="s">
        <v>13</v>
      </c>
      <c r="J9" s="4">
        <v>9</v>
      </c>
      <c r="K9" s="4">
        <v>11329</v>
      </c>
      <c r="L9" s="4">
        <v>9514</v>
      </c>
      <c r="M9" s="4" t="s">
        <v>243</v>
      </c>
      <c r="N9" s="4" t="s">
        <v>166</v>
      </c>
    </row>
    <row r="10" spans="1:15">
      <c r="A10" s="4">
        <v>71603</v>
      </c>
      <c r="B10" s="4" t="s">
        <v>11</v>
      </c>
      <c r="C10" s="4" t="s">
        <v>259</v>
      </c>
      <c r="D10" s="4" t="s">
        <v>148</v>
      </c>
      <c r="E10" s="4" t="s">
        <v>260</v>
      </c>
      <c r="F10" s="5" t="str">
        <f>HYPERLINK("https://stat100.ameba.jp/tnk47/ratio20/illustrations/card/ill_71603_tagishimiminomikoto03.jpg", "■")</f>
        <v>■</v>
      </c>
      <c r="G10" s="4" t="s">
        <v>244</v>
      </c>
      <c r="H10" s="4" t="s">
        <v>15</v>
      </c>
      <c r="I10" s="4" t="s">
        <v>13</v>
      </c>
      <c r="J10" s="4">
        <v>9</v>
      </c>
      <c r="K10" s="4">
        <v>9514</v>
      </c>
      <c r="L10" s="4">
        <v>11329</v>
      </c>
      <c r="M10" s="4" t="s">
        <v>245</v>
      </c>
      <c r="N10" s="4" t="s">
        <v>246</v>
      </c>
    </row>
    <row r="11" spans="1:15">
      <c r="A11" s="4">
        <v>71563</v>
      </c>
      <c r="B11" s="4" t="s">
        <v>11</v>
      </c>
      <c r="C11" s="4" t="s">
        <v>181</v>
      </c>
      <c r="D11" s="4" t="s">
        <v>189</v>
      </c>
      <c r="E11" s="4" t="s">
        <v>261</v>
      </c>
      <c r="F11" s="5" t="str">
        <f>HYPERLINK("https://stat100.ameba.jp/tnk47/ratio20/illustrations/card/ill_71563_yukionna03.jpg", "■")</f>
        <v>■</v>
      </c>
      <c r="G11" s="4" t="s">
        <v>247</v>
      </c>
      <c r="H11" s="4" t="s">
        <v>15</v>
      </c>
      <c r="I11" s="4" t="s">
        <v>13</v>
      </c>
      <c r="J11" s="4">
        <v>6</v>
      </c>
      <c r="K11" s="4">
        <v>7552</v>
      </c>
      <c r="L11" s="4">
        <v>6343</v>
      </c>
      <c r="M11" s="4" t="s">
        <v>248</v>
      </c>
      <c r="N11" s="4" t="s">
        <v>249</v>
      </c>
    </row>
    <row r="13" spans="1:15">
      <c r="A13" s="4" t="s">
        <v>153</v>
      </c>
    </row>
    <row r="14" spans="1:15">
      <c r="A14" s="4">
        <v>51531</v>
      </c>
      <c r="B14" s="4" t="s">
        <v>9</v>
      </c>
      <c r="C14" s="4" t="s">
        <v>33</v>
      </c>
      <c r="D14" s="4" t="s">
        <v>141</v>
      </c>
      <c r="E14" s="4" t="s">
        <v>34</v>
      </c>
      <c r="F14" s="5" t="str">
        <f>HYPERLINK("https://stat100.ameba.jp/tnk47/ratio20/illustrations/card/ill_51531_shinseikitsunenoyomeiri01.jpg", "■")</f>
        <v>■</v>
      </c>
      <c r="G14" s="4" t="s">
        <v>124</v>
      </c>
      <c r="H14" s="4" t="s">
        <v>412</v>
      </c>
      <c r="I14" s="4" t="s">
        <v>400</v>
      </c>
      <c r="J14" s="4">
        <v>14</v>
      </c>
      <c r="K14" s="4">
        <v>20748</v>
      </c>
      <c r="L14" s="4">
        <v>23044</v>
      </c>
      <c r="M14" s="4" t="s">
        <v>39</v>
      </c>
      <c r="N14" s="4" t="s">
        <v>86</v>
      </c>
      <c r="O14" t="s">
        <v>933</v>
      </c>
    </row>
    <row r="15" spans="1:15">
      <c r="A15" s="4">
        <v>61731</v>
      </c>
      <c r="B15" s="4" t="s">
        <v>9</v>
      </c>
      <c r="C15" s="4" t="s">
        <v>142</v>
      </c>
      <c r="D15" s="4" t="s">
        <v>143</v>
      </c>
      <c r="E15" s="4" t="s">
        <v>35</v>
      </c>
      <c r="F15" s="5" t="str">
        <f>HYPERLINK("https://stat100.ameba.jp/tnk47/ratio20/illustrations/card/ill_61731_shinseigakumonnokamisamasugawaramichizane01.jpg", "■")</f>
        <v>■</v>
      </c>
      <c r="G15" s="4" t="s">
        <v>125</v>
      </c>
      <c r="H15" s="4" t="s">
        <v>412</v>
      </c>
      <c r="I15" s="4" t="s">
        <v>977</v>
      </c>
      <c r="J15" s="4">
        <v>14</v>
      </c>
      <c r="K15" s="4">
        <v>23044</v>
      </c>
      <c r="L15" s="4">
        <v>20748</v>
      </c>
      <c r="M15" s="4" t="s">
        <v>38</v>
      </c>
      <c r="N15" s="4" t="s">
        <v>87</v>
      </c>
      <c r="O15" t="s">
        <v>934</v>
      </c>
    </row>
    <row r="16" spans="1:15">
      <c r="A16" s="4">
        <v>65051</v>
      </c>
      <c r="B16" s="4" t="s">
        <v>9</v>
      </c>
      <c r="C16" s="4" t="s">
        <v>33</v>
      </c>
      <c r="D16" s="4" t="s">
        <v>144</v>
      </c>
      <c r="E16" s="4" t="s">
        <v>36</v>
      </c>
      <c r="F16" s="5" t="str">
        <f>HYPERLINK("https://stat100.ameba.jp/tnk47/ratio20/illustrations/card/ill_65051_karuizawakogen01.jpg", "■")</f>
        <v>■</v>
      </c>
      <c r="G16" s="4" t="s">
        <v>126</v>
      </c>
      <c r="H16" s="4" t="s">
        <v>412</v>
      </c>
      <c r="I16" s="4" t="s">
        <v>977</v>
      </c>
      <c r="J16" s="4">
        <v>14</v>
      </c>
      <c r="K16" s="4">
        <v>23044</v>
      </c>
      <c r="L16" s="4">
        <v>20748</v>
      </c>
      <c r="M16" s="4" t="s">
        <v>37</v>
      </c>
      <c r="N16" s="4" t="s">
        <v>88</v>
      </c>
      <c r="O16" t="s">
        <v>935</v>
      </c>
    </row>
    <row r="17" spans="1:14">
      <c r="A17" s="4">
        <v>44311</v>
      </c>
      <c r="B17" s="4" t="s">
        <v>9</v>
      </c>
      <c r="C17" s="4" t="s">
        <v>145</v>
      </c>
      <c r="D17" s="4" t="s">
        <v>146</v>
      </c>
      <c r="E17" s="4" t="s">
        <v>134</v>
      </c>
      <c r="F17" s="5" t="str">
        <f>HYPERLINK("https://stat100.ameba.jp/tnk47/ratio20/illustrations/card/ill_44311_shinseitoshusaisharaku01.jpg", "■")</f>
        <v>■</v>
      </c>
      <c r="G17" s="4" t="s">
        <v>127</v>
      </c>
      <c r="H17" s="4" t="s">
        <v>412</v>
      </c>
      <c r="I17" s="4" t="s">
        <v>977</v>
      </c>
      <c r="J17" s="4">
        <v>14</v>
      </c>
      <c r="K17" s="4">
        <v>23044</v>
      </c>
      <c r="L17" s="4">
        <v>20748</v>
      </c>
      <c r="M17" s="4" t="s">
        <v>40</v>
      </c>
      <c r="N17" s="4" t="s">
        <v>116</v>
      </c>
    </row>
    <row r="18" spans="1:14">
      <c r="A18" s="4">
        <v>45221</v>
      </c>
      <c r="B18" s="4" t="s">
        <v>9</v>
      </c>
      <c r="C18" s="4" t="s">
        <v>147</v>
      </c>
      <c r="D18" s="4" t="s">
        <v>148</v>
      </c>
      <c r="E18" s="4" t="s">
        <v>135</v>
      </c>
      <c r="F18" s="5" t="str">
        <f>HYPERLINK("https://stat100.ameba.jp/tnk47/ratio20/illustrations/card/ill_45221_shinseiamaterasu01.jpg", "■")</f>
        <v>■</v>
      </c>
      <c r="G18" s="4" t="s">
        <v>128</v>
      </c>
      <c r="H18" s="4" t="s">
        <v>412</v>
      </c>
      <c r="I18" s="4" t="s">
        <v>977</v>
      </c>
      <c r="J18" s="4">
        <v>14</v>
      </c>
      <c r="K18" s="4">
        <v>23044</v>
      </c>
      <c r="L18" s="4">
        <v>20748</v>
      </c>
      <c r="M18" s="4" t="s">
        <v>41</v>
      </c>
      <c r="N18" s="4" t="s">
        <v>117</v>
      </c>
    </row>
    <row r="19" spans="1:14">
      <c r="A19" s="4">
        <v>45311</v>
      </c>
      <c r="B19" s="4" t="s">
        <v>9</v>
      </c>
      <c r="C19" s="4" t="s">
        <v>149</v>
      </c>
      <c r="D19" s="4" t="s">
        <v>150</v>
      </c>
      <c r="E19" s="4" t="s">
        <v>136</v>
      </c>
      <c r="F19" s="5" t="str">
        <f>HYPERLINK("https://stat100.ameba.jp/tnk47/ratio20/illustrations/card/ill_45311_shinseikushikatsuchan01.jpg", "■")</f>
        <v>■</v>
      </c>
      <c r="G19" s="4" t="s">
        <v>129</v>
      </c>
      <c r="H19" s="4" t="s">
        <v>412</v>
      </c>
      <c r="I19" s="4" t="s">
        <v>977</v>
      </c>
      <c r="J19" s="4">
        <v>14</v>
      </c>
      <c r="K19" s="4">
        <v>23044</v>
      </c>
      <c r="L19" s="4">
        <v>20748</v>
      </c>
      <c r="M19" s="4" t="s">
        <v>42</v>
      </c>
      <c r="N19" s="4" t="s">
        <v>118</v>
      </c>
    </row>
    <row r="20" spans="1:14">
      <c r="A20" s="4">
        <v>47291</v>
      </c>
      <c r="B20" s="4" t="s">
        <v>9</v>
      </c>
      <c r="C20" s="4" t="s">
        <v>149</v>
      </c>
      <c r="D20" s="4" t="s">
        <v>141</v>
      </c>
      <c r="E20" s="4" t="s">
        <v>137</v>
      </c>
      <c r="F20" s="5" t="str">
        <f>HYPERLINK("https://stat100.ameba.jp/tnk47/ratio20/illustrations/card/ill_47291_shinseioeyamaonidensetsuminamotonoyorimitsu01.jpg", "■")</f>
        <v>■</v>
      </c>
      <c r="G20" s="4" t="s">
        <v>130</v>
      </c>
      <c r="H20" s="4" t="s">
        <v>123</v>
      </c>
      <c r="I20" s="4" t="s">
        <v>53</v>
      </c>
      <c r="J20" s="4">
        <v>14</v>
      </c>
      <c r="K20" s="4">
        <v>20748</v>
      </c>
      <c r="L20" s="4">
        <v>23044</v>
      </c>
      <c r="M20" s="4" t="s">
        <v>43</v>
      </c>
      <c r="N20" s="4" t="s">
        <v>119</v>
      </c>
    </row>
    <row r="21" spans="1:14">
      <c r="A21" s="4">
        <v>48071</v>
      </c>
      <c r="B21" s="4" t="s">
        <v>9</v>
      </c>
      <c r="C21" s="4" t="s">
        <v>151</v>
      </c>
      <c r="D21" s="4" t="s">
        <v>144</v>
      </c>
      <c r="E21" s="4" t="s">
        <v>138</v>
      </c>
      <c r="F21" s="5" t="str">
        <f>HYPERLINK("https://stat100.ameba.jp/tnk47/ratio20/illustrations/card/ill_48071_shinseiseiyaakarengasokochan01.jpg", "■")</f>
        <v>■</v>
      </c>
      <c r="G21" s="4" t="s">
        <v>131</v>
      </c>
      <c r="H21" s="4" t="s">
        <v>412</v>
      </c>
      <c r="I21" s="4" t="s">
        <v>400</v>
      </c>
      <c r="J21" s="4">
        <v>14</v>
      </c>
      <c r="K21" s="4">
        <v>20748</v>
      </c>
      <c r="L21" s="4">
        <v>23044</v>
      </c>
      <c r="M21" s="4" t="s">
        <v>44</v>
      </c>
      <c r="N21" s="4" t="s">
        <v>120</v>
      </c>
    </row>
    <row r="22" spans="1:14">
      <c r="A22" s="4">
        <v>48511</v>
      </c>
      <c r="B22" s="4" t="s">
        <v>9</v>
      </c>
      <c r="C22" s="4" t="s">
        <v>142</v>
      </c>
      <c r="D22" s="4" t="s">
        <v>143</v>
      </c>
      <c r="E22" s="4" t="s">
        <v>139</v>
      </c>
      <c r="F22" s="5" t="str">
        <f>HYPERLINK("https://stat100.ameba.jp/tnk47/ratio20/illustrations/card/ill_48511_shinseishimaduyoshihiro01.jpg", "■")</f>
        <v>■</v>
      </c>
      <c r="G22" s="4" t="s">
        <v>132</v>
      </c>
      <c r="H22" s="4" t="s">
        <v>412</v>
      </c>
      <c r="I22" s="4" t="s">
        <v>400</v>
      </c>
      <c r="J22" s="4">
        <v>14</v>
      </c>
      <c r="K22" s="4">
        <v>20748</v>
      </c>
      <c r="L22" s="4">
        <v>23044</v>
      </c>
      <c r="M22" s="4" t="s">
        <v>45</v>
      </c>
      <c r="N22" s="4" t="s">
        <v>121</v>
      </c>
    </row>
    <row r="23" spans="1:14">
      <c r="A23" s="4">
        <v>49541</v>
      </c>
      <c r="B23" s="4" t="s">
        <v>9</v>
      </c>
      <c r="C23" s="4" t="s">
        <v>149</v>
      </c>
      <c r="D23" s="4" t="s">
        <v>152</v>
      </c>
      <c r="E23" s="4" t="s">
        <v>140</v>
      </c>
      <c r="F23" s="5" t="str">
        <f>HYPERLINK("https://stat100.ameba.jp/tnk47/ratio20/illustrations/card/ill_49541_shinseishichiseikenshoutokutaishi01.jpg", "■")</f>
        <v>■</v>
      </c>
      <c r="G23" s="4" t="s">
        <v>133</v>
      </c>
      <c r="H23" s="4" t="s">
        <v>412</v>
      </c>
      <c r="I23" s="4" t="s">
        <v>977</v>
      </c>
      <c r="J23" s="4">
        <v>14</v>
      </c>
      <c r="K23" s="4">
        <v>23044</v>
      </c>
      <c r="L23" s="4">
        <v>20748</v>
      </c>
      <c r="M23" s="4" t="s">
        <v>46</v>
      </c>
      <c r="N23" s="4" t="s">
        <v>122</v>
      </c>
    </row>
  </sheetData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849CB-C451-4408-A30D-BBCC64A851A2}">
  <dimension ref="A1:O23"/>
  <sheetViews>
    <sheetView zoomScale="55" zoomScaleNormal="55" workbookViewId="0">
      <pane ySplit="1" topLeftCell="A2" activePane="bottomLeft" state="frozen"/>
      <selection activeCell="O1" sqref="O1"/>
      <selection pane="bottomLeft"/>
    </sheetView>
  </sheetViews>
  <sheetFormatPr defaultColWidth="8.9140625" defaultRowHeight="18"/>
  <cols>
    <col min="1" max="1" width="6.4140625" style="4" customWidth="1"/>
    <col min="2" max="2" width="3.9140625" style="4" customWidth="1"/>
    <col min="3" max="3" width="12.25" style="4" customWidth="1"/>
    <col min="4" max="4" width="5.4140625" style="4" customWidth="1"/>
    <col min="5" max="5" width="31" style="4" customWidth="1"/>
    <col min="6" max="6" width="3.9140625" style="4" customWidth="1"/>
    <col min="7" max="7" width="30.9140625" style="4" hidden="1" customWidth="1"/>
    <col min="8" max="8" width="12.9140625" style="4" hidden="1" customWidth="1"/>
    <col min="9" max="9" width="17.33203125" style="4" hidden="1" customWidth="1"/>
    <col min="10" max="10" width="3.75" style="4" customWidth="1"/>
    <col min="11" max="12" width="7.08203125" style="4" customWidth="1"/>
    <col min="13" max="13" width="30.9140625" style="4" hidden="1" customWidth="1"/>
    <col min="14" max="14" width="71" style="4" customWidth="1"/>
    <col min="15" max="15" width="25.9140625" style="4" customWidth="1"/>
    <col min="16" max="16384" width="8.9140625" style="4"/>
  </cols>
  <sheetData>
    <row r="1" spans="1:15" s="1" customFormat="1">
      <c r="A1" s="2" t="s">
        <v>92</v>
      </c>
      <c r="B1" s="2" t="s">
        <v>26</v>
      </c>
      <c r="C1" s="2" t="s">
        <v>19</v>
      </c>
      <c r="D1" s="2" t="s">
        <v>20</v>
      </c>
      <c r="E1" s="2" t="s">
        <v>21</v>
      </c>
      <c r="F1" s="2" t="s">
        <v>93</v>
      </c>
      <c r="G1" s="2" t="s">
        <v>94</v>
      </c>
      <c r="H1" s="3" t="s">
        <v>30</v>
      </c>
      <c r="I1" s="3" t="s">
        <v>22</v>
      </c>
      <c r="J1" s="3" t="s">
        <v>78</v>
      </c>
      <c r="K1" s="3" t="s">
        <v>23</v>
      </c>
      <c r="L1" s="3" t="s">
        <v>24</v>
      </c>
      <c r="M1" s="3" t="s">
        <v>25</v>
      </c>
      <c r="N1" s="3" t="s">
        <v>480</v>
      </c>
      <c r="O1" s="3" t="s">
        <v>936</v>
      </c>
    </row>
    <row r="2" spans="1:15">
      <c r="E2" s="5"/>
      <c r="F2" s="5"/>
    </row>
    <row r="3" spans="1:15">
      <c r="A3" s="4">
        <v>72343</v>
      </c>
      <c r="B3" s="4" t="s">
        <v>95</v>
      </c>
      <c r="C3" s="4" t="s">
        <v>47</v>
      </c>
      <c r="D3" s="4" t="s">
        <v>150</v>
      </c>
      <c r="E3" s="4" t="s">
        <v>214</v>
      </c>
      <c r="F3" s="5" t="str">
        <f>HYPERLINK("https://stat100.ameba.jp/tnk47/ratio20/illustrations/card/ill_72343_hinaijidori03.jpg", "■")</f>
        <v>■</v>
      </c>
      <c r="G3" s="4" t="s">
        <v>192</v>
      </c>
      <c r="H3" s="4" t="s">
        <v>193</v>
      </c>
      <c r="I3" s="4" t="s">
        <v>932</v>
      </c>
      <c r="J3" s="4">
        <v>11</v>
      </c>
      <c r="K3" s="4">
        <v>48305</v>
      </c>
      <c r="L3" s="4">
        <v>51948</v>
      </c>
      <c r="M3" s="4" t="s">
        <v>194</v>
      </c>
      <c r="N3" s="4" t="s">
        <v>370</v>
      </c>
    </row>
    <row r="4" spans="1:15">
      <c r="A4" s="4">
        <v>72403</v>
      </c>
      <c r="B4" s="4" t="s">
        <v>9</v>
      </c>
      <c r="C4" s="4" t="s">
        <v>151</v>
      </c>
      <c r="D4" s="4" t="s">
        <v>144</v>
      </c>
      <c r="E4" s="4" t="s">
        <v>215</v>
      </c>
      <c r="F4" s="5" t="str">
        <f>HYPERLINK("https://stat100.ameba.jp/tnk47/ratio20/illustrations/card/ill_72403_dobutsuakibameido03.jpg", "■")</f>
        <v>■</v>
      </c>
      <c r="G4" s="4" t="s">
        <v>195</v>
      </c>
      <c r="H4" s="4" t="s">
        <v>48</v>
      </c>
      <c r="I4" s="4" t="s">
        <v>49</v>
      </c>
      <c r="J4" s="4">
        <v>13</v>
      </c>
      <c r="K4" s="4">
        <v>38532</v>
      </c>
      <c r="L4" s="4">
        <v>34949</v>
      </c>
      <c r="M4" s="4" t="s">
        <v>196</v>
      </c>
      <c r="N4" s="4" t="s">
        <v>371</v>
      </c>
    </row>
    <row r="5" spans="1:15">
      <c r="A5" s="4">
        <v>72363</v>
      </c>
      <c r="B5" s="4" t="s">
        <v>9</v>
      </c>
      <c r="C5" s="4" t="s">
        <v>149</v>
      </c>
      <c r="D5" s="4" t="s">
        <v>150</v>
      </c>
      <c r="E5" s="4" t="s">
        <v>216</v>
      </c>
      <c r="F5" s="5" t="str">
        <f>HYPERLINK("https://stat100.ameba.jp/tnk47/ratio20/illustrations/card/ill_72363_zuwaigani03.jpg", "■")</f>
        <v>■</v>
      </c>
      <c r="G5" s="4" t="s">
        <v>197</v>
      </c>
      <c r="H5" s="4" t="s">
        <v>172</v>
      </c>
      <c r="I5" s="4" t="s">
        <v>225</v>
      </c>
      <c r="J5" s="4">
        <v>7</v>
      </c>
      <c r="K5" s="4">
        <v>20748</v>
      </c>
      <c r="L5" s="4">
        <v>18818</v>
      </c>
      <c r="M5" s="4" t="s">
        <v>198</v>
      </c>
      <c r="N5" s="4" t="s">
        <v>372</v>
      </c>
      <c r="O5" s="4" t="s">
        <v>975</v>
      </c>
    </row>
    <row r="6" spans="1:15">
      <c r="A6" s="4">
        <v>72353</v>
      </c>
      <c r="B6" s="4" t="s">
        <v>9</v>
      </c>
      <c r="C6" s="4" t="s">
        <v>181</v>
      </c>
      <c r="D6" s="4" t="s">
        <v>150</v>
      </c>
      <c r="E6" s="4" t="s">
        <v>217</v>
      </c>
      <c r="F6" s="5" t="str">
        <f>HYPERLINK("https://stat100.ameba.jp/tnk47/ratio20/illustrations/card/ill_72353_zundapafue03.jpg", "■")</f>
        <v>■</v>
      </c>
      <c r="G6" s="4" t="s">
        <v>199</v>
      </c>
      <c r="H6" s="4" t="s">
        <v>99</v>
      </c>
      <c r="I6" s="4" t="s">
        <v>12</v>
      </c>
      <c r="J6" s="4">
        <v>10</v>
      </c>
      <c r="K6" s="4">
        <v>26884</v>
      </c>
      <c r="L6" s="4">
        <v>29640</v>
      </c>
      <c r="M6" s="4" t="s">
        <v>200</v>
      </c>
      <c r="N6" s="4" t="s">
        <v>373</v>
      </c>
    </row>
    <row r="7" spans="1:15">
      <c r="A7" s="4">
        <v>72373</v>
      </c>
      <c r="B7" s="4" t="s">
        <v>10</v>
      </c>
      <c r="C7" s="4" t="s">
        <v>151</v>
      </c>
      <c r="D7" s="4" t="s">
        <v>150</v>
      </c>
      <c r="E7" s="4" t="s">
        <v>218</v>
      </c>
      <c r="F7" s="5" t="str">
        <f>HYPERLINK("https://stat100.ameba.jp/tnk47/ratio20/illustrations/card/ill_72373_kaminariokoshichan03.jpg", "■")</f>
        <v>■</v>
      </c>
      <c r="G7" s="4" t="s">
        <v>201</v>
      </c>
      <c r="H7" s="4" t="s">
        <v>100</v>
      </c>
      <c r="I7" s="4" t="s">
        <v>16</v>
      </c>
      <c r="J7" s="4">
        <v>9</v>
      </c>
      <c r="K7" s="4">
        <v>18712</v>
      </c>
      <c r="L7" s="4">
        <v>15559</v>
      </c>
      <c r="M7" s="4" t="s">
        <v>202</v>
      </c>
      <c r="N7" s="4" t="s">
        <v>374</v>
      </c>
    </row>
    <row r="8" spans="1:15">
      <c r="A8" s="4">
        <v>72383</v>
      </c>
      <c r="B8" s="4" t="s">
        <v>10</v>
      </c>
      <c r="C8" s="4" t="s">
        <v>142</v>
      </c>
      <c r="D8" s="4" t="s">
        <v>150</v>
      </c>
      <c r="E8" s="4" t="s">
        <v>219</v>
      </c>
      <c r="F8" s="5" t="str">
        <f>HYPERLINK("https://stat100.ameba.jp/tnk47/ratio20/illustrations/card/ill_72383_mentaifuransu03.jpg", "■")</f>
        <v>■</v>
      </c>
      <c r="G8" s="4" t="s">
        <v>203</v>
      </c>
      <c r="H8" s="4" t="s">
        <v>101</v>
      </c>
      <c r="I8" s="4" t="s">
        <v>14</v>
      </c>
      <c r="J8" s="4">
        <v>8</v>
      </c>
      <c r="K8" s="4">
        <v>13830</v>
      </c>
      <c r="L8" s="4">
        <v>16633</v>
      </c>
      <c r="M8" s="4" t="s">
        <v>204</v>
      </c>
      <c r="N8" s="4" t="s">
        <v>205</v>
      </c>
    </row>
    <row r="9" spans="1:15">
      <c r="A9" s="4">
        <v>72423</v>
      </c>
      <c r="B9" s="4" t="s">
        <v>11</v>
      </c>
      <c r="C9" s="4" t="s">
        <v>220</v>
      </c>
      <c r="D9" s="4" t="s">
        <v>143</v>
      </c>
      <c r="E9" s="4" t="s">
        <v>221</v>
      </c>
      <c r="F9" s="5" t="str">
        <f>HYPERLINK("https://stat100.ameba.jp/tnk47/ratio20/illustrations/card/ill_72423_michinagaei03.jpg", "■")</f>
        <v>■</v>
      </c>
      <c r="G9" s="4" t="s">
        <v>206</v>
      </c>
      <c r="H9" s="4" t="s">
        <v>15</v>
      </c>
      <c r="I9" s="4" t="s">
        <v>13</v>
      </c>
      <c r="J9" s="4">
        <v>9</v>
      </c>
      <c r="K9" s="4">
        <v>9514</v>
      </c>
      <c r="L9" s="4">
        <v>11329</v>
      </c>
      <c r="M9" s="4" t="s">
        <v>207</v>
      </c>
      <c r="N9" s="4" t="s">
        <v>208</v>
      </c>
    </row>
    <row r="10" spans="1:15">
      <c r="A10" s="4">
        <v>72433</v>
      </c>
      <c r="B10" s="4" t="s">
        <v>11</v>
      </c>
      <c r="C10" s="4" t="s">
        <v>222</v>
      </c>
      <c r="D10" s="4" t="s">
        <v>146</v>
      </c>
      <c r="E10" s="4" t="s">
        <v>223</v>
      </c>
      <c r="F10" s="5" t="str">
        <f>HYPERLINK("https://stat100.ameba.jp/tnk47/ratio20/illustrations/card/ill_72433_kouboudaishi03.jpg", "■")</f>
        <v>■</v>
      </c>
      <c r="G10" s="4" t="s">
        <v>209</v>
      </c>
      <c r="H10" s="4" t="s">
        <v>15</v>
      </c>
      <c r="I10" s="4" t="s">
        <v>13</v>
      </c>
      <c r="J10" s="4">
        <v>9</v>
      </c>
      <c r="K10" s="4">
        <v>9514</v>
      </c>
      <c r="L10" s="4">
        <v>11329</v>
      </c>
      <c r="M10" s="4" t="s">
        <v>210</v>
      </c>
      <c r="N10" s="4" t="s">
        <v>164</v>
      </c>
    </row>
    <row r="11" spans="1:15">
      <c r="A11" s="4">
        <v>72393</v>
      </c>
      <c r="B11" s="4" t="s">
        <v>11</v>
      </c>
      <c r="C11" s="4" t="s">
        <v>145</v>
      </c>
      <c r="D11" s="4" t="s">
        <v>150</v>
      </c>
      <c r="E11" s="4" t="s">
        <v>224</v>
      </c>
      <c r="F11" s="5" t="str">
        <f>HYPERLINK("https://stat100.ameba.jp/tnk47/ratio20/illustrations/card/ill_72393_mikanzeri03.jpg", "■")</f>
        <v>■</v>
      </c>
      <c r="G11" s="4" t="s">
        <v>211</v>
      </c>
      <c r="H11" s="4" t="s">
        <v>15</v>
      </c>
      <c r="I11" s="4" t="s">
        <v>13</v>
      </c>
      <c r="J11" s="4">
        <v>6</v>
      </c>
      <c r="K11" s="4">
        <v>7552</v>
      </c>
      <c r="L11" s="4">
        <v>6343</v>
      </c>
      <c r="M11" s="4" t="s">
        <v>212</v>
      </c>
      <c r="N11" s="4" t="s">
        <v>213</v>
      </c>
    </row>
    <row r="13" spans="1:15">
      <c r="A13" s="4" t="s">
        <v>153</v>
      </c>
    </row>
    <row r="14" spans="1:15">
      <c r="A14" s="4">
        <v>51531</v>
      </c>
      <c r="B14" s="4" t="s">
        <v>9</v>
      </c>
      <c r="C14" s="4" t="s">
        <v>33</v>
      </c>
      <c r="D14" s="4" t="s">
        <v>141</v>
      </c>
      <c r="E14" s="4" t="s">
        <v>34</v>
      </c>
      <c r="F14" s="5" t="str">
        <f>HYPERLINK("https://stat100.ameba.jp/tnk47/ratio20/illustrations/card/ill_51531_shinseikitsunenoyomeiri01.jpg", "■")</f>
        <v>■</v>
      </c>
      <c r="G14" s="4" t="s">
        <v>124</v>
      </c>
      <c r="H14" s="4" t="s">
        <v>412</v>
      </c>
      <c r="I14" s="4" t="s">
        <v>400</v>
      </c>
      <c r="J14" s="4">
        <v>14</v>
      </c>
      <c r="K14" s="4">
        <v>20748</v>
      </c>
      <c r="L14" s="4">
        <v>23044</v>
      </c>
      <c r="M14" s="4" t="s">
        <v>39</v>
      </c>
      <c r="N14" s="4" t="s">
        <v>86</v>
      </c>
      <c r="O14" t="s">
        <v>933</v>
      </c>
    </row>
    <row r="15" spans="1:15">
      <c r="A15" s="4">
        <v>61731</v>
      </c>
      <c r="B15" s="4" t="s">
        <v>9</v>
      </c>
      <c r="C15" s="4" t="s">
        <v>142</v>
      </c>
      <c r="D15" s="4" t="s">
        <v>143</v>
      </c>
      <c r="E15" s="4" t="s">
        <v>35</v>
      </c>
      <c r="F15" s="5" t="str">
        <f>HYPERLINK("https://stat100.ameba.jp/tnk47/ratio20/illustrations/card/ill_61731_shinseigakumonnokamisamasugawaramichizane01.jpg", "■")</f>
        <v>■</v>
      </c>
      <c r="G15" s="4" t="s">
        <v>125</v>
      </c>
      <c r="H15" s="4" t="s">
        <v>412</v>
      </c>
      <c r="I15" s="4" t="s">
        <v>977</v>
      </c>
      <c r="J15" s="4">
        <v>14</v>
      </c>
      <c r="K15" s="4">
        <v>23044</v>
      </c>
      <c r="L15" s="4">
        <v>20748</v>
      </c>
      <c r="M15" s="4" t="s">
        <v>38</v>
      </c>
      <c r="N15" s="4" t="s">
        <v>87</v>
      </c>
      <c r="O15" t="s">
        <v>934</v>
      </c>
    </row>
    <row r="16" spans="1:15">
      <c r="A16" s="4">
        <v>65051</v>
      </c>
      <c r="B16" s="4" t="s">
        <v>9</v>
      </c>
      <c r="C16" s="4" t="s">
        <v>33</v>
      </c>
      <c r="D16" s="4" t="s">
        <v>144</v>
      </c>
      <c r="E16" s="4" t="s">
        <v>36</v>
      </c>
      <c r="F16" s="5" t="str">
        <f>HYPERLINK("https://stat100.ameba.jp/tnk47/ratio20/illustrations/card/ill_65051_karuizawakogen01.jpg", "■")</f>
        <v>■</v>
      </c>
      <c r="G16" s="4" t="s">
        <v>126</v>
      </c>
      <c r="H16" s="4" t="s">
        <v>412</v>
      </c>
      <c r="I16" s="4" t="s">
        <v>977</v>
      </c>
      <c r="J16" s="4">
        <v>14</v>
      </c>
      <c r="K16" s="4">
        <v>23044</v>
      </c>
      <c r="L16" s="4">
        <v>20748</v>
      </c>
      <c r="M16" s="4" t="s">
        <v>37</v>
      </c>
      <c r="N16" s="4" t="s">
        <v>88</v>
      </c>
      <c r="O16" t="s">
        <v>935</v>
      </c>
    </row>
    <row r="17" spans="1:14">
      <c r="A17" s="4">
        <v>44311</v>
      </c>
      <c r="B17" s="4" t="s">
        <v>9</v>
      </c>
      <c r="C17" s="4" t="s">
        <v>145</v>
      </c>
      <c r="D17" s="4" t="s">
        <v>146</v>
      </c>
      <c r="E17" s="4" t="s">
        <v>134</v>
      </c>
      <c r="F17" s="5" t="str">
        <f>HYPERLINK("https://stat100.ameba.jp/tnk47/ratio20/illustrations/card/ill_44311_shinseitoshusaisharaku01.jpg", "■")</f>
        <v>■</v>
      </c>
      <c r="G17" s="4" t="s">
        <v>127</v>
      </c>
      <c r="H17" s="4" t="s">
        <v>412</v>
      </c>
      <c r="I17" s="4" t="s">
        <v>977</v>
      </c>
      <c r="J17" s="4">
        <v>14</v>
      </c>
      <c r="K17" s="4">
        <v>23044</v>
      </c>
      <c r="L17" s="4">
        <v>20748</v>
      </c>
      <c r="M17" s="4" t="s">
        <v>40</v>
      </c>
      <c r="N17" s="4" t="s">
        <v>116</v>
      </c>
    </row>
    <row r="18" spans="1:14">
      <c r="A18" s="4">
        <v>45221</v>
      </c>
      <c r="B18" s="4" t="s">
        <v>9</v>
      </c>
      <c r="C18" s="4" t="s">
        <v>147</v>
      </c>
      <c r="D18" s="4" t="s">
        <v>148</v>
      </c>
      <c r="E18" s="4" t="s">
        <v>135</v>
      </c>
      <c r="F18" s="5" t="str">
        <f>HYPERLINK("https://stat100.ameba.jp/tnk47/ratio20/illustrations/card/ill_45221_shinseiamaterasu01.jpg", "■")</f>
        <v>■</v>
      </c>
      <c r="G18" s="4" t="s">
        <v>128</v>
      </c>
      <c r="H18" s="4" t="s">
        <v>412</v>
      </c>
      <c r="I18" s="4" t="s">
        <v>977</v>
      </c>
      <c r="J18" s="4">
        <v>14</v>
      </c>
      <c r="K18" s="4">
        <v>23044</v>
      </c>
      <c r="L18" s="4">
        <v>20748</v>
      </c>
      <c r="M18" s="4" t="s">
        <v>41</v>
      </c>
      <c r="N18" s="4" t="s">
        <v>117</v>
      </c>
    </row>
    <row r="19" spans="1:14">
      <c r="A19" s="4">
        <v>45311</v>
      </c>
      <c r="B19" s="4" t="s">
        <v>9</v>
      </c>
      <c r="C19" s="4" t="s">
        <v>149</v>
      </c>
      <c r="D19" s="4" t="s">
        <v>150</v>
      </c>
      <c r="E19" s="4" t="s">
        <v>136</v>
      </c>
      <c r="F19" s="5" t="str">
        <f>HYPERLINK("https://stat100.ameba.jp/tnk47/ratio20/illustrations/card/ill_45311_shinseikushikatsuchan01.jpg", "■")</f>
        <v>■</v>
      </c>
      <c r="G19" s="4" t="s">
        <v>129</v>
      </c>
      <c r="H19" s="4" t="s">
        <v>412</v>
      </c>
      <c r="I19" s="4" t="s">
        <v>977</v>
      </c>
      <c r="J19" s="4">
        <v>14</v>
      </c>
      <c r="K19" s="4">
        <v>23044</v>
      </c>
      <c r="L19" s="4">
        <v>20748</v>
      </c>
      <c r="M19" s="4" t="s">
        <v>42</v>
      </c>
      <c r="N19" s="4" t="s">
        <v>118</v>
      </c>
    </row>
    <row r="20" spans="1:14">
      <c r="A20" s="4">
        <v>47291</v>
      </c>
      <c r="B20" s="4" t="s">
        <v>9</v>
      </c>
      <c r="C20" s="4" t="s">
        <v>149</v>
      </c>
      <c r="D20" s="4" t="s">
        <v>141</v>
      </c>
      <c r="E20" s="4" t="s">
        <v>137</v>
      </c>
      <c r="F20" s="5" t="str">
        <f>HYPERLINK("https://stat100.ameba.jp/tnk47/ratio20/illustrations/card/ill_47291_shinseioeyamaonidensetsuminamotonoyorimitsu01.jpg", "■")</f>
        <v>■</v>
      </c>
      <c r="G20" s="4" t="s">
        <v>130</v>
      </c>
      <c r="H20" s="4" t="s">
        <v>412</v>
      </c>
      <c r="I20" s="4" t="s">
        <v>977</v>
      </c>
      <c r="J20" s="4">
        <v>14</v>
      </c>
      <c r="K20" s="4">
        <v>20748</v>
      </c>
      <c r="L20" s="4">
        <v>23044</v>
      </c>
      <c r="M20" s="4" t="s">
        <v>43</v>
      </c>
      <c r="N20" s="4" t="s">
        <v>119</v>
      </c>
    </row>
    <row r="21" spans="1:14">
      <c r="A21" s="4">
        <v>48071</v>
      </c>
      <c r="B21" s="4" t="s">
        <v>9</v>
      </c>
      <c r="C21" s="4" t="s">
        <v>151</v>
      </c>
      <c r="D21" s="4" t="s">
        <v>144</v>
      </c>
      <c r="E21" s="4" t="s">
        <v>138</v>
      </c>
      <c r="F21" s="5" t="str">
        <f>HYPERLINK("https://stat100.ameba.jp/tnk47/ratio20/illustrations/card/ill_48071_shinseiseiyaakarengasokochan01.jpg", "■")</f>
        <v>■</v>
      </c>
      <c r="G21" s="4" t="s">
        <v>131</v>
      </c>
      <c r="H21" s="4" t="s">
        <v>123</v>
      </c>
      <c r="I21" s="4" t="s">
        <v>53</v>
      </c>
      <c r="J21" s="4">
        <v>14</v>
      </c>
      <c r="K21" s="4">
        <v>20748</v>
      </c>
      <c r="L21" s="4">
        <v>23044</v>
      </c>
      <c r="M21" s="4" t="s">
        <v>44</v>
      </c>
      <c r="N21" s="4" t="s">
        <v>120</v>
      </c>
    </row>
    <row r="22" spans="1:14">
      <c r="A22" s="4">
        <v>48511</v>
      </c>
      <c r="B22" s="4" t="s">
        <v>9</v>
      </c>
      <c r="C22" s="4" t="s">
        <v>142</v>
      </c>
      <c r="D22" s="4" t="s">
        <v>143</v>
      </c>
      <c r="E22" s="4" t="s">
        <v>139</v>
      </c>
      <c r="F22" s="5" t="str">
        <f>HYPERLINK("https://stat100.ameba.jp/tnk47/ratio20/illustrations/card/ill_48511_shinseishimaduyoshihiro01.jpg", "■")</f>
        <v>■</v>
      </c>
      <c r="G22" s="4" t="s">
        <v>132</v>
      </c>
      <c r="H22" s="4" t="s">
        <v>412</v>
      </c>
      <c r="I22" s="4" t="s">
        <v>400</v>
      </c>
      <c r="J22" s="4">
        <v>14</v>
      </c>
      <c r="K22" s="4">
        <v>20748</v>
      </c>
      <c r="L22" s="4">
        <v>23044</v>
      </c>
      <c r="M22" s="4" t="s">
        <v>45</v>
      </c>
      <c r="N22" s="4" t="s">
        <v>121</v>
      </c>
    </row>
    <row r="23" spans="1:14">
      <c r="A23" s="4">
        <v>49541</v>
      </c>
      <c r="B23" s="4" t="s">
        <v>9</v>
      </c>
      <c r="C23" s="4" t="s">
        <v>149</v>
      </c>
      <c r="D23" s="4" t="s">
        <v>152</v>
      </c>
      <c r="E23" s="4" t="s">
        <v>140</v>
      </c>
      <c r="F23" s="5" t="str">
        <f>HYPERLINK("https://stat100.ameba.jp/tnk47/ratio20/illustrations/card/ill_49541_shinseishichiseikenshoutokutaishi01.jpg", "■")</f>
        <v>■</v>
      </c>
      <c r="G23" s="4" t="s">
        <v>133</v>
      </c>
      <c r="H23" s="4" t="s">
        <v>412</v>
      </c>
      <c r="I23" s="4" t="s">
        <v>977</v>
      </c>
      <c r="J23" s="4">
        <v>14</v>
      </c>
      <c r="K23" s="4">
        <v>23044</v>
      </c>
      <c r="L23" s="4">
        <v>20748</v>
      </c>
      <c r="M23" s="4" t="s">
        <v>46</v>
      </c>
      <c r="N23" s="4" t="s">
        <v>122</v>
      </c>
    </row>
  </sheetData>
  <phoneticPr fontId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B2DFE-276B-4501-BEE7-A0E7EFDC59F8}">
  <dimension ref="A1:O23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4140625" style="4" customWidth="1"/>
    <col min="2" max="2" width="3.9140625" style="4" customWidth="1"/>
    <col min="3" max="3" width="12.25" style="4" customWidth="1"/>
    <col min="4" max="4" width="5.4140625" style="4" customWidth="1"/>
    <col min="5" max="5" width="31" style="4" customWidth="1"/>
    <col min="6" max="6" width="3.9140625" style="4" customWidth="1"/>
    <col min="7" max="7" width="30.9140625" style="4" hidden="1" customWidth="1"/>
    <col min="8" max="8" width="12.9140625" style="4" hidden="1" customWidth="1"/>
    <col min="9" max="9" width="17.33203125" style="4" hidden="1" customWidth="1"/>
    <col min="10" max="10" width="3.75" style="4" customWidth="1"/>
    <col min="11" max="12" width="7.08203125" style="4" customWidth="1"/>
    <col min="13" max="13" width="30.9140625" style="4" hidden="1" customWidth="1"/>
    <col min="14" max="14" width="71" style="4" customWidth="1"/>
    <col min="15" max="15" width="25.9140625" style="4" customWidth="1"/>
    <col min="16" max="16384" width="8.9140625" style="4"/>
  </cols>
  <sheetData>
    <row r="1" spans="1:15" s="1" customFormat="1">
      <c r="A1" s="2" t="s">
        <v>92</v>
      </c>
      <c r="B1" s="2" t="s">
        <v>26</v>
      </c>
      <c r="C1" s="2" t="s">
        <v>19</v>
      </c>
      <c r="D1" s="2" t="s">
        <v>20</v>
      </c>
      <c r="E1" s="2" t="s">
        <v>21</v>
      </c>
      <c r="F1" s="2" t="s">
        <v>93</v>
      </c>
      <c r="G1" s="2" t="s">
        <v>94</v>
      </c>
      <c r="H1" s="3" t="s">
        <v>30</v>
      </c>
      <c r="I1" s="3" t="s">
        <v>22</v>
      </c>
      <c r="J1" s="3" t="s">
        <v>78</v>
      </c>
      <c r="K1" s="3" t="s">
        <v>23</v>
      </c>
      <c r="L1" s="3" t="s">
        <v>24</v>
      </c>
      <c r="M1" s="3" t="s">
        <v>25</v>
      </c>
      <c r="N1" s="3" t="s">
        <v>480</v>
      </c>
      <c r="O1" s="3" t="s">
        <v>936</v>
      </c>
    </row>
    <row r="2" spans="1:15">
      <c r="E2" s="5"/>
      <c r="F2" s="5"/>
    </row>
    <row r="3" spans="1:15">
      <c r="A3" s="4">
        <v>73153</v>
      </c>
      <c r="B3" s="4" t="s">
        <v>95</v>
      </c>
      <c r="C3" s="4" t="s">
        <v>179</v>
      </c>
      <c r="D3" s="4" t="s">
        <v>152</v>
      </c>
      <c r="E3" s="4" t="s">
        <v>180</v>
      </c>
      <c r="F3" s="5" t="str">
        <f>HYPERLINK("https://stat100.ameba.jp/tnk47/ratio20/illustrations/card/ill_73153_sengokuhidehisa03.jpg", "■")</f>
        <v>■</v>
      </c>
      <c r="G3" s="4" t="s">
        <v>167</v>
      </c>
      <c r="H3" s="4" t="s">
        <v>168</v>
      </c>
      <c r="I3" s="4" t="s">
        <v>91</v>
      </c>
      <c r="J3" s="4">
        <v>11</v>
      </c>
      <c r="K3" s="4">
        <v>60802</v>
      </c>
      <c r="L3" s="4">
        <v>65392</v>
      </c>
      <c r="M3" s="4" t="s">
        <v>154</v>
      </c>
      <c r="N3" s="4" t="s">
        <v>375</v>
      </c>
      <c r="O3" s="4" t="s">
        <v>974</v>
      </c>
    </row>
    <row r="4" spans="1:15">
      <c r="A4" s="4">
        <v>73213</v>
      </c>
      <c r="B4" s="4" t="s">
        <v>9</v>
      </c>
      <c r="C4" s="4" t="s">
        <v>181</v>
      </c>
      <c r="D4" s="4" t="s">
        <v>148</v>
      </c>
      <c r="E4" s="4" t="s">
        <v>182</v>
      </c>
      <c r="F4" s="5" t="str">
        <f>HYPERLINK("https://stat100.ameba.jp/tnk47/ratio20/illustrations/card/ill_73213_shokudaikirimitsutada03.jpg", "■")</f>
        <v>■</v>
      </c>
      <c r="G4" s="4" t="s">
        <v>169</v>
      </c>
      <c r="H4" s="4" t="s">
        <v>170</v>
      </c>
      <c r="I4" s="4" t="s">
        <v>50</v>
      </c>
      <c r="J4" s="4">
        <v>13</v>
      </c>
      <c r="K4" s="4">
        <v>34949</v>
      </c>
      <c r="L4" s="4">
        <v>38532</v>
      </c>
      <c r="M4" s="4" t="s">
        <v>155</v>
      </c>
      <c r="N4" s="4" t="s">
        <v>376</v>
      </c>
    </row>
    <row r="5" spans="1:15">
      <c r="A5" s="4">
        <v>73173</v>
      </c>
      <c r="B5" s="4" t="s">
        <v>9</v>
      </c>
      <c r="C5" s="4" t="s">
        <v>33</v>
      </c>
      <c r="D5" s="4" t="s">
        <v>51</v>
      </c>
      <c r="E5" s="4" t="s">
        <v>52</v>
      </c>
      <c r="F5" s="5" t="str">
        <f>HYPERLINK("https://stat100.ameba.jp/tnk47/ratio20/illustrations/card/ill_73173_ikedasen03.jpg", "■")</f>
        <v>■</v>
      </c>
      <c r="G5" s="4" t="s">
        <v>171</v>
      </c>
      <c r="H5" s="4" t="s">
        <v>172</v>
      </c>
      <c r="I5" s="4" t="s">
        <v>90</v>
      </c>
      <c r="J5" s="4">
        <v>7</v>
      </c>
      <c r="K5" s="4">
        <v>20748</v>
      </c>
      <c r="L5" s="4">
        <v>18818</v>
      </c>
      <c r="M5" s="4" t="s">
        <v>156</v>
      </c>
      <c r="N5" s="4" t="s">
        <v>377</v>
      </c>
    </row>
    <row r="6" spans="1:15">
      <c r="A6" s="4">
        <v>73163</v>
      </c>
      <c r="B6" s="4" t="s">
        <v>9</v>
      </c>
      <c r="C6" s="4" t="s">
        <v>145</v>
      </c>
      <c r="D6" s="4" t="s">
        <v>152</v>
      </c>
      <c r="E6" s="4" t="s">
        <v>183</v>
      </c>
      <c r="F6" s="5" t="str">
        <f>HYPERLINK("https://stat100.ameba.jp/tnk47/ratio20/illustrations/card/ill_73163_kibitsuhikonomikoto03.jpg", "■")</f>
        <v>■</v>
      </c>
      <c r="G6" s="4" t="s">
        <v>173</v>
      </c>
      <c r="H6" s="4" t="s">
        <v>99</v>
      </c>
      <c r="I6" s="4" t="s">
        <v>12</v>
      </c>
      <c r="J6" s="4">
        <v>10</v>
      </c>
      <c r="K6" s="4">
        <v>26884</v>
      </c>
      <c r="L6" s="4">
        <v>29640</v>
      </c>
      <c r="M6" s="4" t="s">
        <v>157</v>
      </c>
      <c r="N6" s="4" t="s">
        <v>378</v>
      </c>
    </row>
    <row r="7" spans="1:15">
      <c r="A7" s="4">
        <v>73183</v>
      </c>
      <c r="B7" s="4" t="s">
        <v>10</v>
      </c>
      <c r="C7" s="4" t="s">
        <v>151</v>
      </c>
      <c r="D7" s="4" t="s">
        <v>51</v>
      </c>
      <c r="E7" s="4" t="s">
        <v>184</v>
      </c>
      <c r="F7" s="5" t="str">
        <f>HYPERLINK("https://stat100.ameba.jp/tnk47/ratio20/illustrations/card/ill_73183_fujiwaranotoshihito03.jpg", "■")</f>
        <v>■</v>
      </c>
      <c r="G7" s="4" t="s">
        <v>174</v>
      </c>
      <c r="H7" s="4" t="s">
        <v>100</v>
      </c>
      <c r="I7" s="4" t="s">
        <v>16</v>
      </c>
      <c r="J7" s="4">
        <v>9</v>
      </c>
      <c r="K7" s="4">
        <v>18712</v>
      </c>
      <c r="L7" s="4">
        <v>15559</v>
      </c>
      <c r="M7" s="4" t="s">
        <v>158</v>
      </c>
      <c r="N7" s="4" t="s">
        <v>122</v>
      </c>
    </row>
    <row r="8" spans="1:15">
      <c r="A8" s="4">
        <v>73193</v>
      </c>
      <c r="B8" s="4" t="s">
        <v>10</v>
      </c>
      <c r="C8" s="4" t="s">
        <v>149</v>
      </c>
      <c r="D8" s="4" t="s">
        <v>51</v>
      </c>
      <c r="E8" s="4" t="s">
        <v>185</v>
      </c>
      <c r="F8" s="5" t="str">
        <f>HYPERLINK("https://stat100.ameba.jp/tnk47/ratio20/illustrations/card/ill_73193_yagyuumunenori03.jpg", "■")</f>
        <v>■</v>
      </c>
      <c r="G8" s="4" t="s">
        <v>175</v>
      </c>
      <c r="H8" s="4" t="s">
        <v>101</v>
      </c>
      <c r="I8" s="4" t="s">
        <v>14</v>
      </c>
      <c r="J8" s="4">
        <v>8</v>
      </c>
      <c r="K8" s="4">
        <v>13830</v>
      </c>
      <c r="L8" s="4">
        <v>16633</v>
      </c>
      <c r="M8" s="4" t="s">
        <v>159</v>
      </c>
      <c r="N8" s="4" t="s">
        <v>160</v>
      </c>
    </row>
    <row r="9" spans="1:15">
      <c r="A9" s="4">
        <v>73233</v>
      </c>
      <c r="B9" s="4" t="s">
        <v>11</v>
      </c>
      <c r="C9" s="4" t="s">
        <v>142</v>
      </c>
      <c r="D9" s="4" t="s">
        <v>186</v>
      </c>
      <c r="E9" s="4" t="s">
        <v>187</v>
      </c>
      <c r="F9" s="5" t="str">
        <f>HYPERLINK("https://stat100.ameba.jp/tnk47/ratio20/illustrations/card/ill_73233_nadafujin03.jpg", "■")</f>
        <v>■</v>
      </c>
      <c r="G9" s="4" t="s">
        <v>176</v>
      </c>
      <c r="H9" s="4" t="s">
        <v>15</v>
      </c>
      <c r="I9" s="4" t="s">
        <v>13</v>
      </c>
      <c r="J9" s="4">
        <v>9</v>
      </c>
      <c r="K9" s="4">
        <v>11329</v>
      </c>
      <c r="L9" s="4">
        <v>9514</v>
      </c>
      <c r="M9" s="4" t="s">
        <v>161</v>
      </c>
      <c r="N9" s="4" t="s">
        <v>162</v>
      </c>
    </row>
    <row r="10" spans="1:15">
      <c r="A10" s="4">
        <v>73243</v>
      </c>
      <c r="B10" s="4" t="s">
        <v>11</v>
      </c>
      <c r="C10" s="4" t="s">
        <v>188</v>
      </c>
      <c r="D10" s="4" t="s">
        <v>189</v>
      </c>
      <c r="E10" s="4" t="s">
        <v>190</v>
      </c>
      <c r="F10" s="5" t="str">
        <f>HYPERLINK("https://stat100.ameba.jp/tnk47/ratio20/illustrations/card/ill_73243_igonosei03.jpg", "■")</f>
        <v>■</v>
      </c>
      <c r="G10" s="4" t="s">
        <v>177</v>
      </c>
      <c r="H10" s="4" t="s">
        <v>15</v>
      </c>
      <c r="I10" s="4" t="s">
        <v>13</v>
      </c>
      <c r="J10" s="4">
        <v>9</v>
      </c>
      <c r="K10" s="4">
        <v>9514</v>
      </c>
      <c r="L10" s="4">
        <v>11329</v>
      </c>
      <c r="M10" s="4" t="s">
        <v>163</v>
      </c>
      <c r="N10" s="4" t="s">
        <v>164</v>
      </c>
    </row>
    <row r="11" spans="1:15">
      <c r="A11" s="4">
        <v>73203</v>
      </c>
      <c r="B11" s="4" t="s">
        <v>11</v>
      </c>
      <c r="C11" s="4" t="s">
        <v>181</v>
      </c>
      <c r="D11" s="4" t="s">
        <v>51</v>
      </c>
      <c r="E11" s="4" t="s">
        <v>191</v>
      </c>
      <c r="F11" s="5" t="str">
        <f>HYPERLINK("https://stat100.ameba.jp/tnk47/ratio20/illustrations/card/ill_73203_maedakeiji03.jpg", "■")</f>
        <v>■</v>
      </c>
      <c r="G11" s="4" t="s">
        <v>178</v>
      </c>
      <c r="H11" s="4" t="s">
        <v>15</v>
      </c>
      <c r="I11" s="4" t="s">
        <v>13</v>
      </c>
      <c r="J11" s="4">
        <v>6</v>
      </c>
      <c r="K11" s="4">
        <v>7552</v>
      </c>
      <c r="L11" s="4">
        <v>6343</v>
      </c>
      <c r="M11" s="4" t="s">
        <v>165</v>
      </c>
      <c r="N11" s="4" t="s">
        <v>166</v>
      </c>
    </row>
    <row r="13" spans="1:15">
      <c r="A13" s="4" t="s">
        <v>153</v>
      </c>
    </row>
    <row r="14" spans="1:15">
      <c r="A14" s="4">
        <v>51531</v>
      </c>
      <c r="B14" s="4" t="s">
        <v>9</v>
      </c>
      <c r="C14" s="4" t="s">
        <v>33</v>
      </c>
      <c r="D14" s="4" t="s">
        <v>141</v>
      </c>
      <c r="E14" s="4" t="s">
        <v>34</v>
      </c>
      <c r="F14" s="5" t="str">
        <f>HYPERLINK("https://stat100.ameba.jp/tnk47/ratio20/illustrations/card/ill_51531_shinseikitsunenoyomeiri01.jpg", "■")</f>
        <v>■</v>
      </c>
      <c r="G14" s="4" t="s">
        <v>124</v>
      </c>
      <c r="H14" s="4" t="s">
        <v>412</v>
      </c>
      <c r="I14" s="4" t="s">
        <v>400</v>
      </c>
      <c r="J14" s="4">
        <v>14</v>
      </c>
      <c r="K14" s="4">
        <v>20748</v>
      </c>
      <c r="L14" s="4">
        <v>23044</v>
      </c>
      <c r="M14" s="4" t="s">
        <v>39</v>
      </c>
      <c r="N14" s="4" t="s">
        <v>86</v>
      </c>
      <c r="O14" t="s">
        <v>933</v>
      </c>
    </row>
    <row r="15" spans="1:15">
      <c r="A15" s="4">
        <v>61731</v>
      </c>
      <c r="B15" s="4" t="s">
        <v>9</v>
      </c>
      <c r="C15" s="4" t="s">
        <v>142</v>
      </c>
      <c r="D15" s="4" t="s">
        <v>143</v>
      </c>
      <c r="E15" s="4" t="s">
        <v>35</v>
      </c>
      <c r="F15" s="5" t="str">
        <f>HYPERLINK("https://stat100.ameba.jp/tnk47/ratio20/illustrations/card/ill_61731_shinseigakumonnokamisamasugawaramichizane01.jpg", "■")</f>
        <v>■</v>
      </c>
      <c r="G15" s="4" t="s">
        <v>125</v>
      </c>
      <c r="H15" s="4" t="s">
        <v>412</v>
      </c>
      <c r="I15" s="4" t="s">
        <v>977</v>
      </c>
      <c r="J15" s="4">
        <v>14</v>
      </c>
      <c r="K15" s="4">
        <v>23044</v>
      </c>
      <c r="L15" s="4">
        <v>20748</v>
      </c>
      <c r="M15" s="4" t="s">
        <v>38</v>
      </c>
      <c r="N15" s="4" t="s">
        <v>87</v>
      </c>
      <c r="O15" t="s">
        <v>934</v>
      </c>
    </row>
    <row r="16" spans="1:15">
      <c r="A16" s="4">
        <v>65051</v>
      </c>
      <c r="B16" s="4" t="s">
        <v>9</v>
      </c>
      <c r="C16" s="4" t="s">
        <v>33</v>
      </c>
      <c r="D16" s="4" t="s">
        <v>144</v>
      </c>
      <c r="E16" s="4" t="s">
        <v>36</v>
      </c>
      <c r="F16" s="5" t="str">
        <f>HYPERLINK("https://stat100.ameba.jp/tnk47/ratio20/illustrations/card/ill_65051_karuizawakogen01.jpg", "■")</f>
        <v>■</v>
      </c>
      <c r="G16" s="4" t="s">
        <v>126</v>
      </c>
      <c r="H16" s="4" t="s">
        <v>412</v>
      </c>
      <c r="I16" s="4" t="s">
        <v>977</v>
      </c>
      <c r="J16" s="4">
        <v>14</v>
      </c>
      <c r="K16" s="4">
        <v>23044</v>
      </c>
      <c r="L16" s="4">
        <v>20748</v>
      </c>
      <c r="M16" s="4" t="s">
        <v>37</v>
      </c>
      <c r="N16" s="4" t="s">
        <v>88</v>
      </c>
      <c r="O16" t="s">
        <v>935</v>
      </c>
    </row>
    <row r="17" spans="1:14">
      <c r="A17" s="4">
        <v>44311</v>
      </c>
      <c r="B17" s="4" t="s">
        <v>9</v>
      </c>
      <c r="C17" s="4" t="s">
        <v>145</v>
      </c>
      <c r="D17" s="4" t="s">
        <v>146</v>
      </c>
      <c r="E17" s="4" t="s">
        <v>134</v>
      </c>
      <c r="F17" s="5" t="str">
        <f>HYPERLINK("https://stat100.ameba.jp/tnk47/ratio20/illustrations/card/ill_44311_shinseitoshusaisharaku01.jpg", "■")</f>
        <v>■</v>
      </c>
      <c r="G17" s="4" t="s">
        <v>127</v>
      </c>
      <c r="H17" s="4" t="s">
        <v>412</v>
      </c>
      <c r="I17" s="4" t="s">
        <v>977</v>
      </c>
      <c r="J17" s="4">
        <v>14</v>
      </c>
      <c r="K17" s="4">
        <v>23044</v>
      </c>
      <c r="L17" s="4">
        <v>20748</v>
      </c>
      <c r="M17" s="4" t="s">
        <v>40</v>
      </c>
      <c r="N17" s="4" t="s">
        <v>116</v>
      </c>
    </row>
    <row r="18" spans="1:14">
      <c r="A18" s="4">
        <v>45221</v>
      </c>
      <c r="B18" s="4" t="s">
        <v>9</v>
      </c>
      <c r="C18" s="4" t="s">
        <v>147</v>
      </c>
      <c r="D18" s="4" t="s">
        <v>148</v>
      </c>
      <c r="E18" s="4" t="s">
        <v>135</v>
      </c>
      <c r="F18" s="5" t="str">
        <f>HYPERLINK("https://stat100.ameba.jp/tnk47/ratio20/illustrations/card/ill_45221_shinseiamaterasu01.jpg", "■")</f>
        <v>■</v>
      </c>
      <c r="G18" s="4" t="s">
        <v>128</v>
      </c>
      <c r="H18" s="4" t="s">
        <v>412</v>
      </c>
      <c r="I18" s="4" t="s">
        <v>977</v>
      </c>
      <c r="J18" s="4">
        <v>14</v>
      </c>
      <c r="K18" s="4">
        <v>23044</v>
      </c>
      <c r="L18" s="4">
        <v>20748</v>
      </c>
      <c r="M18" s="4" t="s">
        <v>41</v>
      </c>
      <c r="N18" s="4" t="s">
        <v>117</v>
      </c>
    </row>
    <row r="19" spans="1:14">
      <c r="A19" s="4">
        <v>45311</v>
      </c>
      <c r="B19" s="4" t="s">
        <v>9</v>
      </c>
      <c r="C19" s="4" t="s">
        <v>149</v>
      </c>
      <c r="D19" s="4" t="s">
        <v>150</v>
      </c>
      <c r="E19" s="4" t="s">
        <v>136</v>
      </c>
      <c r="F19" s="5" t="str">
        <f>HYPERLINK("https://stat100.ameba.jp/tnk47/ratio20/illustrations/card/ill_45311_shinseikushikatsuchan01.jpg", "■")</f>
        <v>■</v>
      </c>
      <c r="G19" s="4" t="s">
        <v>129</v>
      </c>
      <c r="H19" s="4" t="s">
        <v>412</v>
      </c>
      <c r="I19" s="4" t="s">
        <v>977</v>
      </c>
      <c r="J19" s="4">
        <v>14</v>
      </c>
      <c r="K19" s="4">
        <v>23044</v>
      </c>
      <c r="L19" s="4">
        <v>20748</v>
      </c>
      <c r="M19" s="4" t="s">
        <v>42</v>
      </c>
      <c r="N19" s="4" t="s">
        <v>118</v>
      </c>
    </row>
    <row r="20" spans="1:14">
      <c r="A20" s="4">
        <v>47291</v>
      </c>
      <c r="B20" s="4" t="s">
        <v>9</v>
      </c>
      <c r="C20" s="4" t="s">
        <v>149</v>
      </c>
      <c r="D20" s="4" t="s">
        <v>141</v>
      </c>
      <c r="E20" s="4" t="s">
        <v>137</v>
      </c>
      <c r="F20" s="5" t="str">
        <f>HYPERLINK("https://stat100.ameba.jp/tnk47/ratio20/illustrations/card/ill_47291_shinseioeyamaonidensetsuminamotonoyorimitsu01.jpg", "■")</f>
        <v>■</v>
      </c>
      <c r="G20" s="4" t="s">
        <v>130</v>
      </c>
      <c r="H20" s="4" t="s">
        <v>412</v>
      </c>
      <c r="I20" s="4" t="s">
        <v>977</v>
      </c>
      <c r="J20" s="4">
        <v>14</v>
      </c>
      <c r="K20" s="4">
        <v>20748</v>
      </c>
      <c r="L20" s="4">
        <v>23044</v>
      </c>
      <c r="M20" s="4" t="s">
        <v>43</v>
      </c>
      <c r="N20" s="4" t="s">
        <v>119</v>
      </c>
    </row>
    <row r="21" spans="1:14">
      <c r="A21" s="4">
        <v>48071</v>
      </c>
      <c r="B21" s="4" t="s">
        <v>9</v>
      </c>
      <c r="C21" s="4" t="s">
        <v>151</v>
      </c>
      <c r="D21" s="4" t="s">
        <v>144</v>
      </c>
      <c r="E21" s="4" t="s">
        <v>138</v>
      </c>
      <c r="F21" s="5" t="str">
        <f>HYPERLINK("https://stat100.ameba.jp/tnk47/ratio20/illustrations/card/ill_48071_shinseiseiyaakarengasokochan01.jpg", "■")</f>
        <v>■</v>
      </c>
      <c r="G21" s="4" t="s">
        <v>131</v>
      </c>
      <c r="H21" s="4" t="s">
        <v>412</v>
      </c>
      <c r="I21" s="4" t="s">
        <v>977</v>
      </c>
      <c r="J21" s="4">
        <v>14</v>
      </c>
      <c r="K21" s="4">
        <v>20748</v>
      </c>
      <c r="L21" s="4">
        <v>23044</v>
      </c>
      <c r="M21" s="4" t="s">
        <v>44</v>
      </c>
      <c r="N21" s="4" t="s">
        <v>120</v>
      </c>
    </row>
    <row r="22" spans="1:14">
      <c r="A22" s="4">
        <v>48511</v>
      </c>
      <c r="B22" s="4" t="s">
        <v>9</v>
      </c>
      <c r="C22" s="4" t="s">
        <v>142</v>
      </c>
      <c r="D22" s="4" t="s">
        <v>143</v>
      </c>
      <c r="E22" s="4" t="s">
        <v>139</v>
      </c>
      <c r="F22" s="5" t="str">
        <f>HYPERLINK("https://stat100.ameba.jp/tnk47/ratio20/illustrations/card/ill_48511_shinseishimaduyoshihiro01.jpg", "■")</f>
        <v>■</v>
      </c>
      <c r="G22" s="4" t="s">
        <v>132</v>
      </c>
      <c r="H22" s="4" t="s">
        <v>32</v>
      </c>
      <c r="I22" s="4" t="s">
        <v>53</v>
      </c>
      <c r="J22" s="4">
        <v>14</v>
      </c>
      <c r="K22" s="4">
        <v>20748</v>
      </c>
      <c r="L22" s="4">
        <v>23044</v>
      </c>
      <c r="M22" s="4" t="s">
        <v>45</v>
      </c>
      <c r="N22" s="4" t="s">
        <v>121</v>
      </c>
    </row>
    <row r="23" spans="1:14">
      <c r="A23" s="4">
        <v>49541</v>
      </c>
      <c r="B23" s="4" t="s">
        <v>9</v>
      </c>
      <c r="C23" s="4" t="s">
        <v>149</v>
      </c>
      <c r="D23" s="4" t="s">
        <v>152</v>
      </c>
      <c r="E23" s="4" t="s">
        <v>140</v>
      </c>
      <c r="F23" s="5" t="str">
        <f>HYPERLINK("https://stat100.ameba.jp/tnk47/ratio20/illustrations/card/ill_49541_shinseishichiseikenshoutokutaishi01.jpg", "■")</f>
        <v>■</v>
      </c>
      <c r="G23" s="4" t="s">
        <v>133</v>
      </c>
      <c r="H23" s="4" t="s">
        <v>412</v>
      </c>
      <c r="I23" s="4" t="s">
        <v>977</v>
      </c>
      <c r="J23" s="4">
        <v>14</v>
      </c>
      <c r="K23" s="4">
        <v>23044</v>
      </c>
      <c r="L23" s="4">
        <v>20748</v>
      </c>
      <c r="M23" s="4" t="s">
        <v>46</v>
      </c>
      <c r="N23" s="4" t="s">
        <v>122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B7900-36DE-487D-A6C8-6D4F42769F54}">
  <dimension ref="A1:S23"/>
  <sheetViews>
    <sheetView zoomScale="55" zoomScaleNormal="55" workbookViewId="0">
      <pane ySplit="1" topLeftCell="A2" activePane="bottomLeft" state="frozen"/>
      <selection activeCell="O2" sqref="O2"/>
      <selection pane="bottomLeft"/>
    </sheetView>
  </sheetViews>
  <sheetFormatPr defaultColWidth="8.9140625" defaultRowHeight="18"/>
  <cols>
    <col min="1" max="1" width="6.4140625" style="4" customWidth="1"/>
    <col min="2" max="2" width="3.9140625" style="4" customWidth="1"/>
    <col min="3" max="3" width="12.25" style="4" customWidth="1"/>
    <col min="4" max="4" width="5.4140625" style="4" customWidth="1"/>
    <col min="5" max="5" width="31" style="4" customWidth="1"/>
    <col min="6" max="6" width="3.9140625" style="4" customWidth="1"/>
    <col min="7" max="7" width="30.9140625" style="4" hidden="1" customWidth="1"/>
    <col min="8" max="8" width="12.9140625" style="4" hidden="1" customWidth="1"/>
    <col min="9" max="9" width="17.33203125" style="4" hidden="1" customWidth="1"/>
    <col min="10" max="10" width="3.75" style="4" customWidth="1"/>
    <col min="11" max="12" width="7.08203125" style="4" customWidth="1"/>
    <col min="13" max="13" width="30.9140625" style="4" hidden="1" customWidth="1"/>
    <col min="14" max="14" width="71" style="4" customWidth="1"/>
    <col min="15" max="15" width="25.9140625" style="4" customWidth="1"/>
    <col min="16" max="18" width="8.9140625" style="4" customWidth="1"/>
    <col min="19" max="19" width="8.6640625" customWidth="1"/>
    <col min="20" max="16384" width="8.9140625" style="4"/>
  </cols>
  <sheetData>
    <row r="1" spans="1:19" s="1" customFormat="1">
      <c r="A1" s="2" t="s">
        <v>92</v>
      </c>
      <c r="B1" s="2" t="s">
        <v>26</v>
      </c>
      <c r="C1" s="2" t="s">
        <v>19</v>
      </c>
      <c r="D1" s="2" t="s">
        <v>20</v>
      </c>
      <c r="E1" s="2" t="s">
        <v>21</v>
      </c>
      <c r="F1" s="2" t="s">
        <v>93</v>
      </c>
      <c r="G1" s="2" t="s">
        <v>94</v>
      </c>
      <c r="H1" s="3" t="s">
        <v>30</v>
      </c>
      <c r="I1" s="3" t="s">
        <v>22</v>
      </c>
      <c r="J1" s="3" t="s">
        <v>78</v>
      </c>
      <c r="K1" s="3" t="s">
        <v>23</v>
      </c>
      <c r="L1" s="3" t="s">
        <v>24</v>
      </c>
      <c r="M1" s="3" t="s">
        <v>25</v>
      </c>
      <c r="N1" s="3" t="s">
        <v>480</v>
      </c>
      <c r="O1" s="3" t="s">
        <v>936</v>
      </c>
    </row>
    <row r="2" spans="1:19">
      <c r="E2" s="5"/>
      <c r="F2" s="5"/>
      <c r="S2" s="4"/>
    </row>
    <row r="3" spans="1:19">
      <c r="A3" s="4">
        <v>58123</v>
      </c>
      <c r="B3" s="4" t="s">
        <v>95</v>
      </c>
      <c r="C3" s="4" t="s">
        <v>513</v>
      </c>
      <c r="D3" s="4" t="s">
        <v>514</v>
      </c>
      <c r="E3" s="4" t="s">
        <v>512</v>
      </c>
      <c r="F3" s="5" t="str">
        <f>HYPERLINK("https://stat100.ameba.jp/tnk47/ratio20/illustrations/card/ill_58123_himekatchumegohime03.jpg", "■")</f>
        <v>■</v>
      </c>
      <c r="G3" s="4" t="s">
        <v>544</v>
      </c>
      <c r="J3" s="4">
        <v>10</v>
      </c>
      <c r="K3" s="1">
        <v>38544</v>
      </c>
      <c r="L3" s="1">
        <v>35836</v>
      </c>
      <c r="M3" s="4" t="s">
        <v>515</v>
      </c>
      <c r="N3" s="4" t="s">
        <v>674</v>
      </c>
      <c r="O3" s="4" t="s">
        <v>968</v>
      </c>
      <c r="S3" s="4"/>
    </row>
    <row r="4" spans="1:19">
      <c r="A4" s="4">
        <v>60383</v>
      </c>
      <c r="B4" s="4" t="s">
        <v>9</v>
      </c>
      <c r="C4" s="4" t="s">
        <v>517</v>
      </c>
      <c r="D4" s="4" t="s">
        <v>518</v>
      </c>
      <c r="E4" s="4" t="s">
        <v>516</v>
      </c>
      <c r="F4" s="5" t="str">
        <f>HYPERLINK("https://stat100.ameba.jp/tnk47/ratio20/illustrations/card/ill_60383_shinseishinkageryuyagyujube03.jpg", "■")</f>
        <v>■</v>
      </c>
      <c r="G4" s="4" t="s">
        <v>545</v>
      </c>
      <c r="J4" s="4">
        <v>13</v>
      </c>
      <c r="K4" s="4">
        <v>30283</v>
      </c>
      <c r="L4" s="4">
        <v>33384</v>
      </c>
      <c r="M4" s="4" t="s">
        <v>519</v>
      </c>
      <c r="N4" s="4" t="s">
        <v>520</v>
      </c>
      <c r="S4" s="4"/>
    </row>
    <row r="5" spans="1:19">
      <c r="A5" s="4">
        <v>58143</v>
      </c>
      <c r="B5" s="4" t="s">
        <v>9</v>
      </c>
      <c r="C5" s="4" t="s">
        <v>522</v>
      </c>
      <c r="D5" s="4" t="s">
        <v>514</v>
      </c>
      <c r="E5" s="4" t="s">
        <v>521</v>
      </c>
      <c r="F5" s="5" t="str">
        <f>HYPERLINK("https://stat100.ameba.jp/tnk47/ratio20/illustrations/card/ill_58143_himekatchuchikurinin03.jpg", "■")</f>
        <v>■</v>
      </c>
      <c r="G5" s="4" t="s">
        <v>546</v>
      </c>
      <c r="J5" s="4">
        <v>7</v>
      </c>
      <c r="K5" s="4">
        <v>18818</v>
      </c>
      <c r="L5" s="4">
        <v>20748</v>
      </c>
      <c r="M5" s="4" t="s">
        <v>523</v>
      </c>
      <c r="N5" s="4" t="s">
        <v>363</v>
      </c>
      <c r="S5" s="4"/>
    </row>
    <row r="6" spans="1:19">
      <c r="A6" s="4">
        <v>58133</v>
      </c>
      <c r="B6" s="4" t="s">
        <v>9</v>
      </c>
      <c r="C6" s="4" t="s">
        <v>525</v>
      </c>
      <c r="D6" s="4" t="s">
        <v>514</v>
      </c>
      <c r="E6" s="4" t="s">
        <v>524</v>
      </c>
      <c r="F6" s="5" t="str">
        <f>HYPERLINK("https://stat100.ameba.jp/tnk47/ratio20/illustrations/card/ill_58133_himekatchutobaiin03.jpg", "■")</f>
        <v>■</v>
      </c>
      <c r="G6" s="4" t="s">
        <v>547</v>
      </c>
      <c r="J6" s="4">
        <v>6</v>
      </c>
      <c r="K6" s="4">
        <v>17784</v>
      </c>
      <c r="L6" s="4">
        <v>16130</v>
      </c>
      <c r="M6" s="4" t="s">
        <v>526</v>
      </c>
      <c r="N6" s="4" t="s">
        <v>675</v>
      </c>
      <c r="S6" s="4"/>
    </row>
    <row r="7" spans="1:19">
      <c r="A7" s="4">
        <v>58163</v>
      </c>
      <c r="B7" s="4" t="s">
        <v>10</v>
      </c>
      <c r="C7" s="4" t="s">
        <v>532</v>
      </c>
      <c r="D7" s="4" t="s">
        <v>514</v>
      </c>
      <c r="E7" s="4" t="s">
        <v>531</v>
      </c>
      <c r="F7" s="5" t="str">
        <f>HYPERLINK("https://stat100.ameba.jp/tnk47/ratio20/illustrations/card/ill_58163_katakurakita03.jpg", "■")</f>
        <v>■</v>
      </c>
      <c r="G7" s="4" t="s">
        <v>549</v>
      </c>
      <c r="J7" s="4">
        <v>9</v>
      </c>
      <c r="K7" s="4">
        <v>18712</v>
      </c>
      <c r="L7" s="4">
        <v>15559</v>
      </c>
      <c r="M7" s="4" t="s">
        <v>533</v>
      </c>
      <c r="N7" s="4" t="s">
        <v>2</v>
      </c>
      <c r="S7" s="4"/>
    </row>
    <row r="8" spans="1:19">
      <c r="A8" s="4">
        <v>58183</v>
      </c>
      <c r="B8" s="4" t="s">
        <v>10</v>
      </c>
      <c r="C8" s="4" t="s">
        <v>528</v>
      </c>
      <c r="D8" s="4" t="s">
        <v>514</v>
      </c>
      <c r="E8" s="4" t="s">
        <v>527</v>
      </c>
      <c r="F8" s="5" t="str">
        <f>HYPERLINK("https://stat100.ameba.jp/tnk47/ratio20/illustrations/card/ill_58183_arimanatsuhime03.jpg", "■")</f>
        <v>■</v>
      </c>
      <c r="G8" s="4" t="s">
        <v>548</v>
      </c>
      <c r="J8" s="4">
        <v>8</v>
      </c>
      <c r="K8" s="4">
        <v>13830</v>
      </c>
      <c r="L8" s="4">
        <v>16633</v>
      </c>
      <c r="M8" s="4" t="s">
        <v>529</v>
      </c>
      <c r="N8" s="4" t="s">
        <v>530</v>
      </c>
      <c r="S8" s="4"/>
    </row>
    <row r="9" spans="1:19">
      <c r="A9" s="4">
        <v>60433</v>
      </c>
      <c r="B9" s="4" t="s">
        <v>11</v>
      </c>
      <c r="C9" s="4" t="s">
        <v>534</v>
      </c>
      <c r="D9" s="4" t="s">
        <v>75</v>
      </c>
      <c r="E9" s="4" t="s">
        <v>539</v>
      </c>
      <c r="F9" s="5" t="str">
        <f>HYPERLINK("https://stat100.ameba.jp/tnk47/ratio20/illustrations/card/ill_60433_shinseiisebichan03.jpg", "■")</f>
        <v>■</v>
      </c>
      <c r="G9" s="4" t="s">
        <v>551</v>
      </c>
      <c r="J9" s="4">
        <v>9</v>
      </c>
      <c r="K9" s="4">
        <v>9514</v>
      </c>
      <c r="L9" s="4">
        <v>11329</v>
      </c>
      <c r="M9" s="4" t="s">
        <v>540</v>
      </c>
      <c r="N9" s="4" t="s">
        <v>541</v>
      </c>
      <c r="S9" s="4"/>
    </row>
    <row r="10" spans="1:19">
      <c r="A10" s="4">
        <v>60443</v>
      </c>
      <c r="B10" s="4" t="s">
        <v>11</v>
      </c>
      <c r="C10" s="4" t="s">
        <v>535</v>
      </c>
      <c r="D10" s="4" t="s">
        <v>287</v>
      </c>
      <c r="E10" s="4" t="s">
        <v>542</v>
      </c>
      <c r="F10" s="5" t="str">
        <f>HYPERLINK("https://stat100.ameba.jp/tnk47/ratio20/illustrations/card/ill_60443_shinseishitakirisuzume03.jpg", "■")</f>
        <v>■</v>
      </c>
      <c r="G10" s="4" t="s">
        <v>552</v>
      </c>
      <c r="J10" s="4">
        <v>9</v>
      </c>
      <c r="K10" s="4">
        <v>11329</v>
      </c>
      <c r="L10" s="4">
        <v>9514</v>
      </c>
      <c r="M10" s="4" t="s">
        <v>543</v>
      </c>
      <c r="N10" s="4" t="s">
        <v>28</v>
      </c>
      <c r="S10" s="4"/>
    </row>
    <row r="11" spans="1:19">
      <c r="A11" s="4">
        <v>58193</v>
      </c>
      <c r="B11" s="4" t="s">
        <v>11</v>
      </c>
      <c r="C11" s="4" t="s">
        <v>57</v>
      </c>
      <c r="D11" s="4" t="s">
        <v>288</v>
      </c>
      <c r="E11" s="4" t="s">
        <v>536</v>
      </c>
      <c r="F11" s="5" t="str">
        <f>HYPERLINK("https://stat100.ameba.jp/tnk47/ratio20/illustrations/card/ill_58193_nekogozen03.jpg", "■")</f>
        <v>■</v>
      </c>
      <c r="G11" s="4" t="s">
        <v>550</v>
      </c>
      <c r="J11" s="4">
        <v>6</v>
      </c>
      <c r="K11" s="4">
        <v>7552</v>
      </c>
      <c r="L11" s="4">
        <v>6343</v>
      </c>
      <c r="M11" s="4" t="s">
        <v>537</v>
      </c>
      <c r="N11" s="4" t="s">
        <v>538</v>
      </c>
      <c r="S11" s="4"/>
    </row>
    <row r="12" spans="1:19">
      <c r="S12" s="4"/>
    </row>
    <row r="13" spans="1:19">
      <c r="S13" s="4"/>
    </row>
    <row r="14" spans="1:19">
      <c r="S14" s="4"/>
    </row>
    <row r="15" spans="1:19">
      <c r="S15" s="4"/>
    </row>
    <row r="16" spans="1:19">
      <c r="S16" s="4"/>
    </row>
    <row r="17" spans="19:19">
      <c r="S17" s="4"/>
    </row>
    <row r="18" spans="19:19">
      <c r="S18" s="4"/>
    </row>
    <row r="19" spans="19:19">
      <c r="S19" s="4"/>
    </row>
    <row r="20" spans="19:19">
      <c r="S20" s="4"/>
    </row>
    <row r="21" spans="19:19">
      <c r="S21" s="4"/>
    </row>
    <row r="22" spans="19:19">
      <c r="S22" s="4"/>
    </row>
    <row r="23" spans="19:19">
      <c r="S23" s="4"/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02788-C5BF-4194-A167-8859B0F7B863}">
  <dimension ref="A1:O25"/>
  <sheetViews>
    <sheetView tabSelected="1"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4140625" style="4" customWidth="1"/>
    <col min="2" max="2" width="3.9140625" style="4" customWidth="1"/>
    <col min="3" max="3" width="12.25" style="4" customWidth="1"/>
    <col min="4" max="4" width="5.4140625" style="4" customWidth="1"/>
    <col min="5" max="5" width="31" style="4" customWidth="1"/>
    <col min="6" max="6" width="3.9140625" style="4" customWidth="1"/>
    <col min="7" max="7" width="30.9140625" style="4" hidden="1" customWidth="1"/>
    <col min="8" max="8" width="12.9140625" style="4" hidden="1" customWidth="1"/>
    <col min="9" max="9" width="17.33203125" style="4" hidden="1" customWidth="1"/>
    <col min="10" max="10" width="3.75" style="4" customWidth="1"/>
    <col min="11" max="12" width="7.08203125" style="4" customWidth="1"/>
    <col min="13" max="13" width="30.9140625" style="4" hidden="1" customWidth="1"/>
    <col min="14" max="14" width="71" style="4" customWidth="1"/>
    <col min="15" max="15" width="25.9140625" style="4" customWidth="1"/>
    <col min="16" max="16384" width="8.9140625" style="4"/>
  </cols>
  <sheetData>
    <row r="1" spans="1:15" s="1" customFormat="1">
      <c r="A1" s="2" t="s">
        <v>92</v>
      </c>
      <c r="B1" s="2" t="s">
        <v>26</v>
      </c>
      <c r="C1" s="2" t="s">
        <v>19</v>
      </c>
      <c r="D1" s="2" t="s">
        <v>20</v>
      </c>
      <c r="E1" s="2" t="s">
        <v>21</v>
      </c>
      <c r="F1" s="2" t="s">
        <v>93</v>
      </c>
      <c r="G1" s="2" t="s">
        <v>94</v>
      </c>
      <c r="H1" s="3" t="s">
        <v>30</v>
      </c>
      <c r="I1" s="3" t="s">
        <v>22</v>
      </c>
      <c r="J1" s="3" t="s">
        <v>78</v>
      </c>
      <c r="K1" s="3" t="s">
        <v>23</v>
      </c>
      <c r="L1" s="3" t="s">
        <v>24</v>
      </c>
      <c r="M1" s="3" t="s">
        <v>25</v>
      </c>
      <c r="N1" s="3" t="s">
        <v>480</v>
      </c>
      <c r="O1" s="3" t="s">
        <v>936</v>
      </c>
    </row>
    <row r="2" spans="1:15">
      <c r="E2" s="5"/>
      <c r="F2" s="5"/>
    </row>
    <row r="3" spans="1:15">
      <c r="A3" s="4" t="s">
        <v>953</v>
      </c>
      <c r="E3" s="5"/>
      <c r="F3" s="5"/>
    </row>
    <row r="4" spans="1:15">
      <c r="E4" s="5"/>
      <c r="F4" s="5"/>
    </row>
    <row r="5" spans="1:15">
      <c r="A5" s="4">
        <v>73963</v>
      </c>
      <c r="B5" s="4" t="s">
        <v>95</v>
      </c>
      <c r="C5" s="4" t="s">
        <v>47</v>
      </c>
      <c r="D5" s="4" t="s">
        <v>54</v>
      </c>
      <c r="E5" s="4" t="s">
        <v>55</v>
      </c>
      <c r="F5" s="5" t="str">
        <f>HYPERLINK("https://stat100.ameba.jp/tnk47/ratio20/illustrations/card/ill_73963_tanabatachokeshin03.jpg", "■")</f>
        <v>■</v>
      </c>
      <c r="G5" s="4" t="s">
        <v>56</v>
      </c>
      <c r="H5" s="4" t="s">
        <v>97</v>
      </c>
      <c r="I5" s="4" t="s">
        <v>980</v>
      </c>
      <c r="J5" s="4">
        <v>11</v>
      </c>
      <c r="K5" s="4">
        <v>45832</v>
      </c>
      <c r="L5" s="4">
        <v>42623</v>
      </c>
      <c r="M5" s="4" t="s">
        <v>102</v>
      </c>
      <c r="N5" s="4" t="s">
        <v>379</v>
      </c>
      <c r="O5" s="4" t="s">
        <v>970</v>
      </c>
    </row>
    <row r="6" spans="1:15">
      <c r="A6" s="4">
        <v>74023</v>
      </c>
      <c r="B6" s="4" t="s">
        <v>9</v>
      </c>
      <c r="C6" s="4" t="s">
        <v>57</v>
      </c>
      <c r="D6" s="4" t="s">
        <v>58</v>
      </c>
      <c r="E6" s="4" t="s">
        <v>59</v>
      </c>
      <c r="F6" s="5" t="str">
        <f>HYPERLINK("https://stat100.ameba.jp/tnk47/ratio20/illustrations/card/ill_74023_hasukappuwain03.jpg", "■")</f>
        <v>■</v>
      </c>
      <c r="G6" s="4" t="s">
        <v>60</v>
      </c>
      <c r="H6" s="4" t="s">
        <v>98</v>
      </c>
      <c r="I6" s="4" t="s">
        <v>83</v>
      </c>
      <c r="J6" s="4">
        <v>13</v>
      </c>
      <c r="K6" s="4">
        <v>33384</v>
      </c>
      <c r="L6" s="4">
        <v>34949</v>
      </c>
      <c r="M6" s="4" t="s">
        <v>103</v>
      </c>
      <c r="N6" s="4" t="s">
        <v>380</v>
      </c>
    </row>
    <row r="7" spans="1:15">
      <c r="A7" s="4">
        <v>73983</v>
      </c>
      <c r="B7" s="4" t="s">
        <v>9</v>
      </c>
      <c r="C7" s="4" t="s">
        <v>61</v>
      </c>
      <c r="D7" s="4" t="s">
        <v>54</v>
      </c>
      <c r="E7" s="4" t="s">
        <v>62</v>
      </c>
      <c r="F7" s="5" t="str">
        <f>HYPERLINK("https://stat100.ameba.jp/tnk47/ratio20/illustrations/card/ill_73983_nurarihyon03.jpg", "■")</f>
        <v>■</v>
      </c>
      <c r="G7" s="4" t="s">
        <v>63</v>
      </c>
      <c r="H7" s="4" t="s">
        <v>82</v>
      </c>
      <c r="I7" s="4" t="s">
        <v>84</v>
      </c>
      <c r="J7" s="4">
        <v>7</v>
      </c>
      <c r="K7" s="4">
        <v>18818</v>
      </c>
      <c r="L7" s="4">
        <v>20748</v>
      </c>
      <c r="M7" s="4" t="s">
        <v>104</v>
      </c>
      <c r="N7" s="4" t="s">
        <v>381</v>
      </c>
    </row>
    <row r="8" spans="1:15">
      <c r="A8" s="4">
        <v>73973</v>
      </c>
      <c r="B8" s="4" t="s">
        <v>9</v>
      </c>
      <c r="C8" s="4" t="s">
        <v>64</v>
      </c>
      <c r="D8" s="4" t="s">
        <v>54</v>
      </c>
      <c r="E8" s="4" t="s">
        <v>65</v>
      </c>
      <c r="F8" s="5" t="str">
        <f>HYPERLINK("https://stat100.ameba.jp/tnk47/ratio20/illustrations/card/ill_73973_hikozanbuzenbou03.jpg", "■")</f>
        <v>■</v>
      </c>
      <c r="G8" s="4" t="s">
        <v>76</v>
      </c>
      <c r="H8" s="4" t="s">
        <v>99</v>
      </c>
      <c r="I8" s="4" t="s">
        <v>12</v>
      </c>
      <c r="J8" s="4">
        <v>10</v>
      </c>
      <c r="K8" s="4">
        <v>29640</v>
      </c>
      <c r="L8" s="4">
        <v>26884</v>
      </c>
      <c r="M8" s="4" t="s">
        <v>105</v>
      </c>
      <c r="N8" s="4" t="s">
        <v>382</v>
      </c>
      <c r="O8" s="4" t="s">
        <v>976</v>
      </c>
    </row>
    <row r="9" spans="1:15">
      <c r="A9" s="4">
        <v>73993</v>
      </c>
      <c r="B9" s="4" t="s">
        <v>10</v>
      </c>
      <c r="C9" s="4" t="s">
        <v>33</v>
      </c>
      <c r="D9" s="4" t="s">
        <v>54</v>
      </c>
      <c r="E9" s="4" t="s">
        <v>66</v>
      </c>
      <c r="F9" s="5" t="str">
        <f>HYPERLINK("https://stat100.ameba.jp/tnk47/ratio20/illustrations/card/ill_73993_onawatobishikkenken03.jpg", "■")</f>
        <v>■</v>
      </c>
      <c r="G9" s="4" t="s">
        <v>67</v>
      </c>
      <c r="H9" s="4" t="s">
        <v>100</v>
      </c>
      <c r="I9" s="4" t="s">
        <v>16</v>
      </c>
      <c r="J9" s="4">
        <v>9</v>
      </c>
      <c r="K9" s="4">
        <v>18712</v>
      </c>
      <c r="L9" s="4">
        <v>15559</v>
      </c>
      <c r="M9" s="4" t="s">
        <v>106</v>
      </c>
      <c r="N9" s="4" t="s">
        <v>107</v>
      </c>
    </row>
    <row r="10" spans="1:15">
      <c r="A10" s="4">
        <v>74003</v>
      </c>
      <c r="B10" s="4" t="s">
        <v>10</v>
      </c>
      <c r="C10" s="4" t="s">
        <v>57</v>
      </c>
      <c r="D10" s="4" t="s">
        <v>54</v>
      </c>
      <c r="E10" s="4" t="s">
        <v>68</v>
      </c>
      <c r="F10" s="5" t="str">
        <f>HYPERLINK("https://stat100.ameba.jp/tnk47/ratio20/illustrations/card/ill_74003_sankichioni03.jpg", "■")</f>
        <v>■</v>
      </c>
      <c r="G10" s="4" t="s">
        <v>79</v>
      </c>
      <c r="H10" s="4" t="s">
        <v>101</v>
      </c>
      <c r="I10" s="4" t="s">
        <v>14</v>
      </c>
      <c r="J10" s="4">
        <v>8</v>
      </c>
      <c r="K10" s="4">
        <v>13830</v>
      </c>
      <c r="L10" s="4">
        <v>16633</v>
      </c>
      <c r="M10" s="4" t="s">
        <v>108</v>
      </c>
      <c r="N10" s="4" t="s">
        <v>109</v>
      </c>
    </row>
    <row r="11" spans="1:15">
      <c r="A11" s="4">
        <v>74043</v>
      </c>
      <c r="B11" s="4" t="s">
        <v>11</v>
      </c>
      <c r="C11" s="4" t="s">
        <v>69</v>
      </c>
      <c r="D11" s="4" t="s">
        <v>51</v>
      </c>
      <c r="E11" s="4" t="s">
        <v>70</v>
      </c>
      <c r="F11" s="5" t="str">
        <f>HYPERLINK("https://stat100.ameba.jp/tnk47/ratio20/illustrations/card/ill_74043_shimmemmunisai03.jpg", "■")</f>
        <v>■</v>
      </c>
      <c r="G11" s="4" t="s">
        <v>77</v>
      </c>
      <c r="H11" s="4" t="s">
        <v>15</v>
      </c>
      <c r="I11" s="4" t="s">
        <v>13</v>
      </c>
      <c r="J11" s="4">
        <v>9</v>
      </c>
      <c r="K11" s="4">
        <v>9514</v>
      </c>
      <c r="L11" s="4">
        <v>11329</v>
      </c>
      <c r="M11" s="4" t="s">
        <v>110</v>
      </c>
      <c r="N11" s="4" t="s">
        <v>111</v>
      </c>
    </row>
    <row r="12" spans="1:15">
      <c r="A12" s="4">
        <v>74053</v>
      </c>
      <c r="B12" s="4" t="s">
        <v>11</v>
      </c>
      <c r="C12" s="4" t="s">
        <v>74</v>
      </c>
      <c r="D12" s="4" t="s">
        <v>75</v>
      </c>
      <c r="E12" s="4" t="s">
        <v>71</v>
      </c>
      <c r="F12" s="5" t="str">
        <f>HYPERLINK("https://stat100.ameba.jp/tnk47/ratio20/illustrations/card/ill_74053_obakeyashiki03.jpg", "■")</f>
        <v>■</v>
      </c>
      <c r="G12" s="4" t="s">
        <v>80</v>
      </c>
      <c r="H12" s="4" t="s">
        <v>15</v>
      </c>
      <c r="I12" s="4" t="s">
        <v>13</v>
      </c>
      <c r="J12" s="4">
        <v>9</v>
      </c>
      <c r="K12" s="4">
        <v>9514</v>
      </c>
      <c r="L12" s="4">
        <v>11329</v>
      </c>
      <c r="M12" s="4" t="s">
        <v>112</v>
      </c>
      <c r="N12" s="4" t="s">
        <v>113</v>
      </c>
    </row>
    <row r="13" spans="1:15">
      <c r="A13" s="4">
        <v>74013</v>
      </c>
      <c r="B13" s="4" t="s">
        <v>11</v>
      </c>
      <c r="C13" s="4" t="s">
        <v>73</v>
      </c>
      <c r="D13" s="4" t="s">
        <v>54</v>
      </c>
      <c r="E13" s="4" t="s">
        <v>72</v>
      </c>
      <c r="F13" s="5" t="str">
        <f>HYPERLINK("https://stat100.ameba.jp/tnk47/ratio20/illustrations/card/ill_74013_oitekebori03.jpg", "■")</f>
        <v>■</v>
      </c>
      <c r="G13" s="4" t="s">
        <v>81</v>
      </c>
      <c r="H13" s="4" t="s">
        <v>15</v>
      </c>
      <c r="I13" s="4" t="s">
        <v>13</v>
      </c>
      <c r="J13" s="4">
        <v>6</v>
      </c>
      <c r="K13" s="4">
        <v>7552</v>
      </c>
      <c r="L13" s="4">
        <v>6343</v>
      </c>
      <c r="M13" s="4" t="s">
        <v>114</v>
      </c>
      <c r="N13" s="4" t="s">
        <v>115</v>
      </c>
    </row>
    <row r="15" spans="1:15">
      <c r="A15" s="4" t="s">
        <v>153</v>
      </c>
    </row>
    <row r="16" spans="1:15">
      <c r="A16" s="4">
        <v>51531</v>
      </c>
      <c r="B16" s="4" t="s">
        <v>9</v>
      </c>
      <c r="C16" s="4" t="s">
        <v>33</v>
      </c>
      <c r="D16" s="4" t="s">
        <v>141</v>
      </c>
      <c r="E16" s="4" t="s">
        <v>34</v>
      </c>
      <c r="F16" s="5" t="str">
        <f>HYPERLINK("https://stat100.ameba.jp/tnk47/ratio20/illustrations/card/ill_51531_shinseikitsunenoyomeiri01.jpg", "■")</f>
        <v>■</v>
      </c>
      <c r="G16" s="4" t="s">
        <v>124</v>
      </c>
      <c r="H16" s="4" t="s">
        <v>123</v>
      </c>
      <c r="I16" s="4" t="s">
        <v>53</v>
      </c>
      <c r="J16" s="4">
        <v>14</v>
      </c>
      <c r="K16" s="4">
        <v>20748</v>
      </c>
      <c r="L16" s="4">
        <v>23044</v>
      </c>
      <c r="M16" s="4" t="s">
        <v>39</v>
      </c>
      <c r="N16" s="4" t="s">
        <v>86</v>
      </c>
      <c r="O16" t="s">
        <v>933</v>
      </c>
    </row>
    <row r="17" spans="1:15">
      <c r="A17" s="4">
        <v>61731</v>
      </c>
      <c r="B17" s="4" t="s">
        <v>9</v>
      </c>
      <c r="C17" s="4" t="s">
        <v>142</v>
      </c>
      <c r="D17" s="4" t="s">
        <v>143</v>
      </c>
      <c r="E17" s="4" t="s">
        <v>35</v>
      </c>
      <c r="F17" s="5" t="str">
        <f>HYPERLINK("https://stat100.ameba.jp/tnk47/ratio20/illustrations/card/ill_61731_shinseigakumonnokamisamasugawaramichizane01.jpg", "■")</f>
        <v>■</v>
      </c>
      <c r="G17" s="4" t="s">
        <v>125</v>
      </c>
      <c r="H17" s="4" t="s">
        <v>412</v>
      </c>
      <c r="I17" s="4" t="s">
        <v>977</v>
      </c>
      <c r="J17" s="4">
        <v>14</v>
      </c>
      <c r="K17" s="4">
        <v>23044</v>
      </c>
      <c r="L17" s="4">
        <v>20748</v>
      </c>
      <c r="M17" s="4" t="s">
        <v>38</v>
      </c>
      <c r="N17" s="4" t="s">
        <v>87</v>
      </c>
      <c r="O17" t="s">
        <v>934</v>
      </c>
    </row>
    <row r="18" spans="1:15">
      <c r="A18" s="4">
        <v>65051</v>
      </c>
      <c r="B18" s="4" t="s">
        <v>9</v>
      </c>
      <c r="C18" s="4" t="s">
        <v>33</v>
      </c>
      <c r="D18" s="4" t="s">
        <v>144</v>
      </c>
      <c r="E18" s="4" t="s">
        <v>36</v>
      </c>
      <c r="F18" s="5" t="str">
        <f>HYPERLINK("https://stat100.ameba.jp/tnk47/ratio20/illustrations/card/ill_65051_karuizawakogen01.jpg", "■")</f>
        <v>■</v>
      </c>
      <c r="G18" s="4" t="s">
        <v>126</v>
      </c>
      <c r="H18" s="4" t="s">
        <v>412</v>
      </c>
      <c r="I18" s="4" t="s">
        <v>977</v>
      </c>
      <c r="J18" s="4">
        <v>14</v>
      </c>
      <c r="K18" s="4">
        <v>23044</v>
      </c>
      <c r="L18" s="4">
        <v>20748</v>
      </c>
      <c r="M18" s="4" t="s">
        <v>37</v>
      </c>
      <c r="N18" s="4" t="s">
        <v>88</v>
      </c>
      <c r="O18" t="s">
        <v>935</v>
      </c>
    </row>
    <row r="19" spans="1:15">
      <c r="A19" s="4">
        <v>44311</v>
      </c>
      <c r="B19" s="4" t="s">
        <v>9</v>
      </c>
      <c r="C19" s="4" t="s">
        <v>145</v>
      </c>
      <c r="D19" s="4" t="s">
        <v>146</v>
      </c>
      <c r="E19" s="4" t="s">
        <v>134</v>
      </c>
      <c r="F19" s="5" t="str">
        <f>HYPERLINK("https://stat100.ameba.jp/tnk47/ratio20/illustrations/card/ill_44311_shinseitoshusaisharaku01.jpg", "■")</f>
        <v>■</v>
      </c>
      <c r="G19" s="4" t="s">
        <v>127</v>
      </c>
      <c r="H19" s="4" t="s">
        <v>412</v>
      </c>
      <c r="I19" s="4" t="s">
        <v>977</v>
      </c>
      <c r="J19" s="4">
        <v>14</v>
      </c>
      <c r="K19" s="4">
        <v>23044</v>
      </c>
      <c r="L19" s="4">
        <v>20748</v>
      </c>
      <c r="M19" s="4" t="s">
        <v>40</v>
      </c>
      <c r="N19" s="4" t="s">
        <v>116</v>
      </c>
    </row>
    <row r="20" spans="1:15">
      <c r="A20" s="4">
        <v>45221</v>
      </c>
      <c r="B20" s="4" t="s">
        <v>9</v>
      </c>
      <c r="C20" s="4" t="s">
        <v>147</v>
      </c>
      <c r="D20" s="4" t="s">
        <v>148</v>
      </c>
      <c r="E20" s="4" t="s">
        <v>135</v>
      </c>
      <c r="F20" s="5" t="str">
        <f>HYPERLINK("https://stat100.ameba.jp/tnk47/ratio20/illustrations/card/ill_45221_shinseiamaterasu01.jpg", "■")</f>
        <v>■</v>
      </c>
      <c r="G20" s="4" t="s">
        <v>128</v>
      </c>
      <c r="H20" s="4" t="s">
        <v>412</v>
      </c>
      <c r="I20" s="4" t="s">
        <v>977</v>
      </c>
      <c r="J20" s="4">
        <v>14</v>
      </c>
      <c r="K20" s="4">
        <v>23044</v>
      </c>
      <c r="L20" s="4">
        <v>20748</v>
      </c>
      <c r="M20" s="4" t="s">
        <v>41</v>
      </c>
      <c r="N20" s="4" t="s">
        <v>117</v>
      </c>
    </row>
    <row r="21" spans="1:15">
      <c r="A21" s="4">
        <v>45311</v>
      </c>
      <c r="B21" s="4" t="s">
        <v>9</v>
      </c>
      <c r="C21" s="4" t="s">
        <v>149</v>
      </c>
      <c r="D21" s="4" t="s">
        <v>150</v>
      </c>
      <c r="E21" s="4" t="s">
        <v>136</v>
      </c>
      <c r="F21" s="5" t="str">
        <f>HYPERLINK("https://stat100.ameba.jp/tnk47/ratio20/illustrations/card/ill_45311_shinseikushikatsuchan01.jpg", "■")</f>
        <v>■</v>
      </c>
      <c r="G21" s="4" t="s">
        <v>129</v>
      </c>
      <c r="H21" s="4" t="s">
        <v>412</v>
      </c>
      <c r="I21" s="4" t="s">
        <v>977</v>
      </c>
      <c r="J21" s="4">
        <v>14</v>
      </c>
      <c r="K21" s="4">
        <v>23044</v>
      </c>
      <c r="L21" s="4">
        <v>20748</v>
      </c>
      <c r="M21" s="4" t="s">
        <v>42</v>
      </c>
      <c r="N21" s="4" t="s">
        <v>118</v>
      </c>
    </row>
    <row r="22" spans="1:15">
      <c r="A22" s="4">
        <v>47291</v>
      </c>
      <c r="B22" s="4" t="s">
        <v>9</v>
      </c>
      <c r="C22" s="4" t="s">
        <v>149</v>
      </c>
      <c r="D22" s="4" t="s">
        <v>141</v>
      </c>
      <c r="E22" s="4" t="s">
        <v>137</v>
      </c>
      <c r="F22" s="5" t="str">
        <f>HYPERLINK("https://stat100.ameba.jp/tnk47/ratio20/illustrations/card/ill_47291_shinseioeyamaonidensetsuminamotonoyorimitsu01.jpg", "■")</f>
        <v>■</v>
      </c>
      <c r="G22" s="4" t="s">
        <v>130</v>
      </c>
      <c r="H22" s="4" t="s">
        <v>412</v>
      </c>
      <c r="I22" s="4" t="s">
        <v>977</v>
      </c>
      <c r="J22" s="4">
        <v>14</v>
      </c>
      <c r="K22" s="4">
        <v>20748</v>
      </c>
      <c r="L22" s="4">
        <v>23044</v>
      </c>
      <c r="M22" s="4" t="s">
        <v>43</v>
      </c>
      <c r="N22" s="4" t="s">
        <v>119</v>
      </c>
    </row>
    <row r="23" spans="1:15">
      <c r="A23" s="4">
        <v>48071</v>
      </c>
      <c r="B23" s="4" t="s">
        <v>9</v>
      </c>
      <c r="C23" s="4" t="s">
        <v>151</v>
      </c>
      <c r="D23" s="4" t="s">
        <v>144</v>
      </c>
      <c r="E23" s="4" t="s">
        <v>138</v>
      </c>
      <c r="F23" s="5" t="str">
        <f>HYPERLINK("https://stat100.ameba.jp/tnk47/ratio20/illustrations/card/ill_48071_shinseiseiyaakarengasokochan01.jpg", "■")</f>
        <v>■</v>
      </c>
      <c r="G23" s="4" t="s">
        <v>131</v>
      </c>
      <c r="H23" s="4" t="s">
        <v>412</v>
      </c>
      <c r="I23" s="4" t="s">
        <v>977</v>
      </c>
      <c r="J23" s="4">
        <v>14</v>
      </c>
      <c r="K23" s="4">
        <v>20748</v>
      </c>
      <c r="L23" s="4">
        <v>23044</v>
      </c>
      <c r="M23" s="4" t="s">
        <v>44</v>
      </c>
      <c r="N23" s="4" t="s">
        <v>120</v>
      </c>
    </row>
    <row r="24" spans="1:15">
      <c r="A24" s="4">
        <v>48511</v>
      </c>
      <c r="B24" s="4" t="s">
        <v>9</v>
      </c>
      <c r="C24" s="4" t="s">
        <v>142</v>
      </c>
      <c r="D24" s="4" t="s">
        <v>143</v>
      </c>
      <c r="E24" s="4" t="s">
        <v>139</v>
      </c>
      <c r="F24" s="5" t="str">
        <f>HYPERLINK("https://stat100.ameba.jp/tnk47/ratio20/illustrations/card/ill_48511_shinseishimaduyoshihiro01.jpg", "■")</f>
        <v>■</v>
      </c>
      <c r="G24" s="4" t="s">
        <v>132</v>
      </c>
      <c r="H24" s="4" t="s">
        <v>412</v>
      </c>
      <c r="I24" s="4" t="s">
        <v>977</v>
      </c>
      <c r="J24" s="4">
        <v>14</v>
      </c>
      <c r="K24" s="4">
        <v>20748</v>
      </c>
      <c r="L24" s="4">
        <v>23044</v>
      </c>
      <c r="M24" s="4" t="s">
        <v>45</v>
      </c>
      <c r="N24" s="4" t="s">
        <v>121</v>
      </c>
    </row>
    <row r="25" spans="1:15">
      <c r="A25" s="4">
        <v>49541</v>
      </c>
      <c r="B25" s="4" t="s">
        <v>9</v>
      </c>
      <c r="C25" s="4" t="s">
        <v>149</v>
      </c>
      <c r="D25" s="4" t="s">
        <v>152</v>
      </c>
      <c r="E25" s="4" t="s">
        <v>140</v>
      </c>
      <c r="F25" s="5" t="str">
        <f>HYPERLINK("https://stat100.ameba.jp/tnk47/ratio20/illustrations/card/ill_49541_shinseishichiseikenshoutokutaishi01.jpg", "■")</f>
        <v>■</v>
      </c>
      <c r="G25" s="4" t="s">
        <v>133</v>
      </c>
      <c r="H25" s="4" t="s">
        <v>412</v>
      </c>
      <c r="I25" s="4" t="s">
        <v>977</v>
      </c>
      <c r="J25" s="4">
        <v>14</v>
      </c>
      <c r="K25" s="4">
        <v>23044</v>
      </c>
      <c r="L25" s="4">
        <v>20748</v>
      </c>
      <c r="M25" s="4" t="s">
        <v>46</v>
      </c>
      <c r="N25" s="4" t="s">
        <v>122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AFF7F-7BEB-4FDA-A9C4-9A91A0A4CFEA}">
  <dimension ref="A1:O16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4140625" style="4" customWidth="1"/>
    <col min="2" max="2" width="3.9140625" style="4" customWidth="1"/>
    <col min="3" max="3" width="12.25" style="4" customWidth="1"/>
    <col min="4" max="4" width="5.4140625" style="4" customWidth="1"/>
    <col min="5" max="5" width="31" style="4" customWidth="1"/>
    <col min="6" max="6" width="3.9140625" style="4" customWidth="1"/>
    <col min="7" max="7" width="30.9140625" style="4" hidden="1" customWidth="1"/>
    <col min="8" max="8" width="12.9140625" style="4" hidden="1" customWidth="1"/>
    <col min="9" max="9" width="17.33203125" style="4" hidden="1" customWidth="1"/>
    <col min="10" max="10" width="3.75" style="4" customWidth="1"/>
    <col min="11" max="12" width="7.08203125" style="4" customWidth="1"/>
    <col min="13" max="13" width="30.9140625" style="4" hidden="1" customWidth="1"/>
    <col min="14" max="14" width="71" style="4" customWidth="1"/>
    <col min="15" max="15" width="25.9140625" style="4" customWidth="1"/>
    <col min="16" max="17" width="8.9140625" style="4" customWidth="1"/>
    <col min="18" max="16384" width="8.9140625" style="4"/>
  </cols>
  <sheetData>
    <row r="1" spans="1:15" s="1" customFormat="1">
      <c r="A1" s="2" t="s">
        <v>92</v>
      </c>
      <c r="B1" s="2" t="s">
        <v>26</v>
      </c>
      <c r="C1" s="2" t="s">
        <v>19</v>
      </c>
      <c r="D1" s="2" t="s">
        <v>20</v>
      </c>
      <c r="E1" s="2" t="s">
        <v>21</v>
      </c>
      <c r="F1" s="2" t="s">
        <v>93</v>
      </c>
      <c r="G1" s="2" t="s">
        <v>94</v>
      </c>
      <c r="H1" s="3" t="s">
        <v>30</v>
      </c>
      <c r="I1" s="3" t="s">
        <v>22</v>
      </c>
      <c r="J1" s="3" t="s">
        <v>78</v>
      </c>
      <c r="K1" s="3" t="s">
        <v>23</v>
      </c>
      <c r="L1" s="3" t="s">
        <v>24</v>
      </c>
      <c r="M1" s="3" t="s">
        <v>25</v>
      </c>
      <c r="N1" s="3" t="s">
        <v>480</v>
      </c>
      <c r="O1" s="3" t="s">
        <v>936</v>
      </c>
    </row>
    <row r="2" spans="1:15">
      <c r="E2" s="5"/>
      <c r="F2" s="5"/>
    </row>
    <row r="3" spans="1:15">
      <c r="A3" s="4" t="s">
        <v>954</v>
      </c>
      <c r="E3" s="5"/>
      <c r="F3" s="5"/>
    </row>
    <row r="4" spans="1:15">
      <c r="E4" s="5"/>
      <c r="F4" s="5"/>
    </row>
    <row r="5" spans="1:15">
      <c r="A5" s="4">
        <v>58963</v>
      </c>
      <c r="B5" s="4" t="s">
        <v>95</v>
      </c>
      <c r="C5" s="4" t="s">
        <v>554</v>
      </c>
      <c r="D5" s="4" t="s">
        <v>555</v>
      </c>
      <c r="E5" s="4" t="s">
        <v>553</v>
      </c>
      <c r="F5" s="5" t="str">
        <f>HYPERLINK("https://stat100.ameba.jp/tnk47/ratio20/illustrations/card/ill_58963_ginnosuzu03.jpg", "■")</f>
        <v>■</v>
      </c>
      <c r="G5" s="4" t="s">
        <v>820</v>
      </c>
      <c r="H5" s="4" t="s">
        <v>964</v>
      </c>
      <c r="J5" s="4">
        <v>10</v>
      </c>
      <c r="K5" s="1">
        <v>35836</v>
      </c>
      <c r="L5" s="1">
        <v>38544</v>
      </c>
      <c r="M5" s="4" t="s">
        <v>556</v>
      </c>
      <c r="N5" s="4" t="s">
        <v>676</v>
      </c>
    </row>
    <row r="6" spans="1:15">
      <c r="A6" s="4">
        <v>61023</v>
      </c>
      <c r="B6" s="4" t="s">
        <v>9</v>
      </c>
      <c r="C6" s="4" t="s">
        <v>558</v>
      </c>
      <c r="D6" s="4" t="s">
        <v>559</v>
      </c>
      <c r="E6" s="4" t="s">
        <v>557</v>
      </c>
      <c r="F6" s="5" t="str">
        <f>HYPERLINK("https://stat100.ameba.jp/tnk47/ratio20/illustrations/card/ill_61023_shinseibarentaimbakedanuki03.jpg", "■")</f>
        <v>■</v>
      </c>
      <c r="G6" s="4" t="s">
        <v>821</v>
      </c>
      <c r="H6" s="4" t="s">
        <v>938</v>
      </c>
      <c r="J6" s="4">
        <v>13</v>
      </c>
      <c r="K6" s="4">
        <v>30283</v>
      </c>
      <c r="L6" s="4">
        <v>33384</v>
      </c>
      <c r="M6" s="4" t="s">
        <v>560</v>
      </c>
      <c r="N6" s="4" t="s">
        <v>561</v>
      </c>
    </row>
    <row r="7" spans="1:15">
      <c r="A7" s="4">
        <v>58993</v>
      </c>
      <c r="B7" s="4" t="s">
        <v>9</v>
      </c>
      <c r="C7" s="4" t="s">
        <v>558</v>
      </c>
      <c r="D7" s="4" t="s">
        <v>555</v>
      </c>
      <c r="E7" s="4" t="s">
        <v>562</v>
      </c>
      <c r="F7" s="5" t="str">
        <f>HYPERLINK("https://stat100.ameba.jp/tnk47/ratio20/illustrations/card/ill_58993_momotarozo03.jpg", "■")</f>
        <v>■</v>
      </c>
      <c r="G7" s="4" t="s">
        <v>822</v>
      </c>
      <c r="H7" s="4" t="s">
        <v>942</v>
      </c>
      <c r="J7" s="4">
        <v>6</v>
      </c>
      <c r="K7" s="4">
        <v>17784</v>
      </c>
      <c r="L7" s="4">
        <v>16130</v>
      </c>
      <c r="M7" s="4" t="s">
        <v>563</v>
      </c>
      <c r="N7" s="4" t="s">
        <v>430</v>
      </c>
    </row>
    <row r="8" spans="1:15">
      <c r="A8" s="4">
        <v>58973</v>
      </c>
      <c r="B8" s="4" t="s">
        <v>9</v>
      </c>
      <c r="C8" s="4" t="s">
        <v>565</v>
      </c>
      <c r="D8" s="4" t="s">
        <v>555</v>
      </c>
      <c r="E8" s="4" t="s">
        <v>564</v>
      </c>
      <c r="F8" s="5" t="str">
        <f>HYPERLINK("https://stat100.ameba.jp/tnk47/ratio20/illustrations/card/ill_58973_sendaisutendogurasu03.jpg", "■")</f>
        <v>■</v>
      </c>
      <c r="G8" s="4" t="s">
        <v>823</v>
      </c>
      <c r="H8" s="4" t="s">
        <v>939</v>
      </c>
      <c r="J8" s="4">
        <v>10</v>
      </c>
      <c r="K8" s="4">
        <v>29640</v>
      </c>
      <c r="L8" s="4">
        <v>26884</v>
      </c>
      <c r="M8" s="4" t="s">
        <v>566</v>
      </c>
      <c r="N8" s="4" t="s">
        <v>677</v>
      </c>
    </row>
    <row r="9" spans="1:15">
      <c r="A9" s="4">
        <v>45643</v>
      </c>
      <c r="B9" s="4" t="s">
        <v>10</v>
      </c>
      <c r="C9" s="4" t="s">
        <v>568</v>
      </c>
      <c r="D9" s="4" t="s">
        <v>555</v>
      </c>
      <c r="E9" s="4" t="s">
        <v>567</v>
      </c>
      <c r="F9" s="5" t="str">
        <f>HYPERLINK("https://stat100.ameba.jp/tnk47/ratio20/illustrations/card/ill_45643_ikefukuro03.jpg", "■")</f>
        <v>■</v>
      </c>
      <c r="G9" s="4" t="s">
        <v>824</v>
      </c>
      <c r="H9" s="4" t="s">
        <v>942</v>
      </c>
      <c r="J9" s="4">
        <v>9</v>
      </c>
      <c r="K9" s="4">
        <v>18712</v>
      </c>
      <c r="L9" s="4">
        <v>15559</v>
      </c>
      <c r="M9" s="4" t="s">
        <v>569</v>
      </c>
      <c r="N9" s="4" t="s">
        <v>570</v>
      </c>
    </row>
    <row r="10" spans="1:15">
      <c r="A10" s="4">
        <v>34223</v>
      </c>
      <c r="B10" s="4" t="s">
        <v>10</v>
      </c>
      <c r="C10" s="4" t="s">
        <v>572</v>
      </c>
      <c r="D10" s="4" t="s">
        <v>555</v>
      </c>
      <c r="E10" s="4" t="s">
        <v>571</v>
      </c>
      <c r="F10" s="5" t="str">
        <f>HYPERLINK("https://stat100.ameba.jp/tnk47/ratio20/illustrations/card/ill_34223_moaichan03.jpg", "■")</f>
        <v>■</v>
      </c>
      <c r="G10" s="4" t="s">
        <v>825</v>
      </c>
      <c r="H10" s="4" t="s">
        <v>941</v>
      </c>
      <c r="J10" s="4">
        <v>8</v>
      </c>
      <c r="K10" s="4">
        <v>13830</v>
      </c>
      <c r="L10" s="4">
        <v>16633</v>
      </c>
      <c r="M10" s="4" t="s">
        <v>573</v>
      </c>
      <c r="N10" s="4" t="s">
        <v>574</v>
      </c>
    </row>
    <row r="11" spans="1:15">
      <c r="A11" s="4">
        <v>61063</v>
      </c>
      <c r="B11" s="4" t="s">
        <v>11</v>
      </c>
      <c r="C11" s="4" t="s">
        <v>580</v>
      </c>
      <c r="D11" s="4" t="s">
        <v>559</v>
      </c>
      <c r="E11" s="4" t="s">
        <v>579</v>
      </c>
      <c r="F11" s="5" t="str">
        <f>HYPERLINK("https://stat100.ameba.jp/tnk47/ratio20/illustrations/card/ill_61063_shinseiamikiri03.jpg", "■")</f>
        <v>■</v>
      </c>
      <c r="G11" s="4" t="s">
        <v>826</v>
      </c>
      <c r="H11" s="4" t="s">
        <v>937</v>
      </c>
      <c r="J11" s="4">
        <v>9</v>
      </c>
      <c r="K11" s="4">
        <v>9514</v>
      </c>
      <c r="L11" s="4">
        <v>11329</v>
      </c>
      <c r="M11" s="4" t="s">
        <v>581</v>
      </c>
      <c r="N11" s="4" t="s">
        <v>582</v>
      </c>
    </row>
    <row r="12" spans="1:15">
      <c r="A12" s="4">
        <v>61073</v>
      </c>
      <c r="B12" s="4" t="s">
        <v>11</v>
      </c>
      <c r="C12" s="4" t="s">
        <v>584</v>
      </c>
      <c r="D12" s="4" t="s">
        <v>585</v>
      </c>
      <c r="E12" s="4" t="s">
        <v>583</v>
      </c>
      <c r="F12" s="5" t="str">
        <f>HYPERLINK("https://stat100.ameba.jp/tnk47/ratio20/illustrations/card/ill_61073_shinseibarentainsotorihime03.jpg", "■")</f>
        <v>■</v>
      </c>
      <c r="G12" s="4" t="s">
        <v>827</v>
      </c>
      <c r="H12" s="4" t="s">
        <v>938</v>
      </c>
      <c r="J12" s="4">
        <v>9</v>
      </c>
      <c r="K12" s="4">
        <v>11329</v>
      </c>
      <c r="L12" s="4">
        <v>9514</v>
      </c>
      <c r="M12" s="4" t="s">
        <v>586</v>
      </c>
      <c r="N12" s="4" t="s">
        <v>587</v>
      </c>
    </row>
    <row r="13" spans="1:15">
      <c r="A13" s="4">
        <v>59013</v>
      </c>
      <c r="B13" s="4" t="s">
        <v>11</v>
      </c>
      <c r="C13" s="4" t="s">
        <v>576</v>
      </c>
      <c r="D13" s="4" t="s">
        <v>555</v>
      </c>
      <c r="E13" s="4" t="s">
        <v>575</v>
      </c>
      <c r="F13" s="5" t="str">
        <f>HYPERLINK("https://stat100.ameba.jp/tnk47/ratio20/illustrations/card/ill_59013_shinseiyubujima03.jpg", "■")</f>
        <v>■</v>
      </c>
      <c r="G13" s="4" t="s">
        <v>828</v>
      </c>
      <c r="H13" s="4" t="s">
        <v>940</v>
      </c>
      <c r="J13" s="4">
        <v>6</v>
      </c>
      <c r="K13" s="4">
        <v>6343</v>
      </c>
      <c r="L13" s="4">
        <v>7552</v>
      </c>
      <c r="M13" s="4" t="s">
        <v>577</v>
      </c>
      <c r="N13" s="4" t="s">
        <v>578</v>
      </c>
    </row>
    <row r="15" spans="1:15">
      <c r="H15" s="4" t="s">
        <v>943</v>
      </c>
    </row>
    <row r="16" spans="1:15">
      <c r="H16" s="4" t="s">
        <v>979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71B5E-4B6C-4CDD-8858-8E800D19982B}">
  <dimension ref="A1:O11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4140625" style="4" customWidth="1"/>
    <col min="2" max="2" width="3.9140625" style="4" customWidth="1"/>
    <col min="3" max="3" width="12.25" style="4" customWidth="1"/>
    <col min="4" max="4" width="5.4140625" style="4" customWidth="1"/>
    <col min="5" max="5" width="31" style="4" customWidth="1"/>
    <col min="6" max="6" width="3.9140625" style="4" customWidth="1"/>
    <col min="7" max="7" width="30.9140625" style="4" hidden="1" customWidth="1"/>
    <col min="8" max="8" width="12.9140625" style="4" hidden="1" customWidth="1"/>
    <col min="9" max="9" width="17.33203125" style="4" hidden="1" customWidth="1"/>
    <col min="10" max="10" width="3.75" style="4" customWidth="1"/>
    <col min="11" max="12" width="7.08203125" style="4" customWidth="1"/>
    <col min="13" max="13" width="30.9140625" style="4" hidden="1" customWidth="1"/>
    <col min="14" max="14" width="71" style="4" customWidth="1"/>
    <col min="15" max="15" width="25.9140625" style="4" customWidth="1"/>
    <col min="16" max="17" width="8.9140625" style="4" customWidth="1"/>
    <col min="18" max="16384" width="8.9140625" style="4"/>
  </cols>
  <sheetData>
    <row r="1" spans="1:15" s="1" customFormat="1">
      <c r="A1" s="2" t="s">
        <v>92</v>
      </c>
      <c r="B1" s="2" t="s">
        <v>26</v>
      </c>
      <c r="C1" s="2" t="s">
        <v>19</v>
      </c>
      <c r="D1" s="2" t="s">
        <v>20</v>
      </c>
      <c r="E1" s="2" t="s">
        <v>21</v>
      </c>
      <c r="F1" s="2" t="s">
        <v>93</v>
      </c>
      <c r="G1" s="2" t="s">
        <v>94</v>
      </c>
      <c r="H1" s="3" t="s">
        <v>30</v>
      </c>
      <c r="I1" s="3" t="s">
        <v>22</v>
      </c>
      <c r="J1" s="3" t="s">
        <v>78</v>
      </c>
      <c r="K1" s="3" t="s">
        <v>23</v>
      </c>
      <c r="L1" s="3" t="s">
        <v>24</v>
      </c>
      <c r="M1" s="3" t="s">
        <v>25</v>
      </c>
      <c r="N1" s="3" t="s">
        <v>480</v>
      </c>
      <c r="O1" s="3" t="s">
        <v>936</v>
      </c>
    </row>
    <row r="2" spans="1:15">
      <c r="E2" s="5"/>
      <c r="F2" s="5"/>
    </row>
    <row r="3" spans="1:15">
      <c r="A3" s="4">
        <v>59783</v>
      </c>
      <c r="B3" s="4" t="s">
        <v>95</v>
      </c>
      <c r="C3" s="4" t="s">
        <v>554</v>
      </c>
      <c r="D3" s="4" t="s">
        <v>589</v>
      </c>
      <c r="E3" s="4" t="s">
        <v>588</v>
      </c>
      <c r="F3" s="5" t="str">
        <f>HYPERLINK("https://stat100.ameba.jp/tnk47/ratio20/illustrations/card/ill_59783_kurobahanichan03.jpg", "■")</f>
        <v>■</v>
      </c>
      <c r="G3" s="4" t="s">
        <v>840</v>
      </c>
      <c r="J3" s="4">
        <v>10</v>
      </c>
      <c r="K3" s="4">
        <v>47225</v>
      </c>
      <c r="L3" s="4">
        <v>43914</v>
      </c>
      <c r="M3" s="4" t="s">
        <v>590</v>
      </c>
      <c r="N3" s="4" t="s">
        <v>591</v>
      </c>
      <c r="O3" s="4" t="s">
        <v>966</v>
      </c>
    </row>
    <row r="4" spans="1:15">
      <c r="A4" s="4">
        <v>61733</v>
      </c>
      <c r="B4" s="4" t="s">
        <v>9</v>
      </c>
      <c r="C4" s="4" t="s">
        <v>572</v>
      </c>
      <c r="D4" s="4" t="s">
        <v>593</v>
      </c>
      <c r="E4" s="4" t="s">
        <v>592</v>
      </c>
      <c r="F4" s="5" t="str">
        <f>HYPERLINK("https://stat100.ameba.jp/tnk47/ratio20/illustrations/card/ill_61733_shinseigakumonnokamisamasugawaramichizane03.jpg", "■")</f>
        <v>■</v>
      </c>
      <c r="G4" s="4" t="s">
        <v>841</v>
      </c>
      <c r="J4" s="4">
        <v>13</v>
      </c>
      <c r="K4" s="4">
        <v>33384</v>
      </c>
      <c r="L4" s="4">
        <v>30283</v>
      </c>
      <c r="M4" s="4" t="s">
        <v>594</v>
      </c>
      <c r="N4" s="4" t="s">
        <v>595</v>
      </c>
    </row>
    <row r="5" spans="1:15">
      <c r="A5" s="4">
        <v>59813</v>
      </c>
      <c r="B5" s="4" t="s">
        <v>9</v>
      </c>
      <c r="C5" s="4" t="s">
        <v>558</v>
      </c>
      <c r="D5" s="4" t="s">
        <v>589</v>
      </c>
      <c r="E5" s="4" t="s">
        <v>596</v>
      </c>
      <c r="F5" s="5" t="str">
        <f>HYPERLINK("https://stat100.ameba.jp/tnk47/ratio20/illustrations/card/ill_59813_remonhanichan03.jpg", "■")</f>
        <v>■</v>
      </c>
      <c r="G5" s="4" t="s">
        <v>842</v>
      </c>
      <c r="J5" s="4">
        <v>6</v>
      </c>
      <c r="K5" s="4">
        <v>16130</v>
      </c>
      <c r="L5" s="4">
        <v>17784</v>
      </c>
      <c r="M5" s="4" t="s">
        <v>597</v>
      </c>
      <c r="N5" s="4" t="s">
        <v>433</v>
      </c>
    </row>
    <row r="6" spans="1:15">
      <c r="A6" s="4">
        <v>59793</v>
      </c>
      <c r="B6" s="4" t="s">
        <v>9</v>
      </c>
      <c r="C6" s="4" t="s">
        <v>599</v>
      </c>
      <c r="D6" s="4" t="s">
        <v>589</v>
      </c>
      <c r="E6" s="4" t="s">
        <v>598</v>
      </c>
      <c r="F6" s="5" t="str">
        <f>HYPERLINK("https://stat100.ameba.jp/tnk47/ratio20/illustrations/card/ill_59793_rengehanichan03.jpg", "■")</f>
        <v>■</v>
      </c>
      <c r="G6" s="4" t="s">
        <v>843</v>
      </c>
      <c r="J6" s="4">
        <v>10</v>
      </c>
      <c r="K6" s="4">
        <v>26884</v>
      </c>
      <c r="L6" s="4">
        <v>29640</v>
      </c>
      <c r="M6" s="4" t="s">
        <v>600</v>
      </c>
      <c r="N6" s="4" t="s">
        <v>678</v>
      </c>
    </row>
    <row r="7" spans="1:15">
      <c r="A7" s="4">
        <v>59843</v>
      </c>
      <c r="B7" s="4" t="s">
        <v>10</v>
      </c>
      <c r="C7" s="4" t="s">
        <v>572</v>
      </c>
      <c r="D7" s="4" t="s">
        <v>589</v>
      </c>
      <c r="E7" s="4" t="s">
        <v>601</v>
      </c>
      <c r="F7" s="5" t="str">
        <f>HYPERLINK("https://stat100.ameba.jp/tnk47/ratio20/illustrations/card/ill_59843_mirukusekichan03.jpg", "■")</f>
        <v>■</v>
      </c>
      <c r="G7" s="4" t="s">
        <v>844</v>
      </c>
      <c r="J7" s="4">
        <v>9</v>
      </c>
      <c r="K7" s="4">
        <v>15559</v>
      </c>
      <c r="L7" s="4">
        <v>18712</v>
      </c>
      <c r="M7" s="4" t="s">
        <v>602</v>
      </c>
      <c r="N7" s="4" t="s">
        <v>603</v>
      </c>
    </row>
    <row r="8" spans="1:15">
      <c r="A8" s="4">
        <v>59833</v>
      </c>
      <c r="B8" s="4" t="s">
        <v>10</v>
      </c>
      <c r="C8" s="4" t="s">
        <v>568</v>
      </c>
      <c r="D8" s="4" t="s">
        <v>589</v>
      </c>
      <c r="E8" s="4" t="s">
        <v>604</v>
      </c>
      <c r="F8" s="5" t="str">
        <f>HYPERLINK("https://stat100.ameba.jp/tnk47/ratio20/illustrations/card/ill_59833_shinseimakaron03.jpg", "■")</f>
        <v>■</v>
      </c>
      <c r="G8" s="4" t="s">
        <v>845</v>
      </c>
      <c r="J8" s="4">
        <v>8</v>
      </c>
      <c r="K8" s="4">
        <v>16633</v>
      </c>
      <c r="L8" s="4">
        <v>13830</v>
      </c>
      <c r="M8" s="4" t="s">
        <v>605</v>
      </c>
      <c r="N8" s="4" t="s">
        <v>606</v>
      </c>
    </row>
    <row r="9" spans="1:15">
      <c r="A9" s="4">
        <v>61753</v>
      </c>
      <c r="B9" s="4" t="s">
        <v>11</v>
      </c>
      <c r="C9" s="4" t="s">
        <v>614</v>
      </c>
      <c r="D9" s="4" t="s">
        <v>612</v>
      </c>
      <c r="E9" s="4" t="s">
        <v>611</v>
      </c>
      <c r="F9" s="5" t="str">
        <f>HYPERLINK("https://stat100.ameba.jp/tnk47/ratio20/illustrations/card/ill_61753_shinseishirotsumekusagishumoninnotango03.jpg", "■")</f>
        <v>■</v>
      </c>
      <c r="G9" s="4" t="s">
        <v>846</v>
      </c>
      <c r="J9" s="4">
        <v>9</v>
      </c>
      <c r="K9" s="4">
        <v>9514</v>
      </c>
      <c r="L9" s="4">
        <v>11329</v>
      </c>
      <c r="M9" s="4" t="s">
        <v>616</v>
      </c>
      <c r="N9" s="4" t="s">
        <v>617</v>
      </c>
    </row>
    <row r="10" spans="1:15">
      <c r="A10" s="4">
        <v>61763</v>
      </c>
      <c r="B10" s="4" t="s">
        <v>11</v>
      </c>
      <c r="C10" s="4" t="s">
        <v>615</v>
      </c>
      <c r="D10" s="4" t="s">
        <v>613</v>
      </c>
      <c r="E10" s="4" t="s">
        <v>620</v>
      </c>
      <c r="F10" s="5" t="str">
        <f>HYPERLINK("https://stat100.ameba.jp/tnk47/ratio20/illustrations/card/ill_61763_shinseiotembakomahime03.jpg", "■")</f>
        <v>■</v>
      </c>
      <c r="G10" s="4" t="s">
        <v>847</v>
      </c>
      <c r="J10" s="4">
        <v>9</v>
      </c>
      <c r="K10" s="4">
        <v>11329</v>
      </c>
      <c r="L10" s="4">
        <v>9514</v>
      </c>
      <c r="M10" s="4" t="s">
        <v>618</v>
      </c>
      <c r="N10" s="4" t="s">
        <v>619</v>
      </c>
    </row>
    <row r="11" spans="1:15">
      <c r="A11" s="4">
        <v>59853</v>
      </c>
      <c r="B11" s="4" t="s">
        <v>11</v>
      </c>
      <c r="C11" s="4" t="s">
        <v>608</v>
      </c>
      <c r="D11" s="4" t="s">
        <v>589</v>
      </c>
      <c r="E11" s="4" t="s">
        <v>607</v>
      </c>
      <c r="F11" s="5" t="str">
        <f>HYPERLINK("https://stat100.ameba.jp/tnk47/ratio20/illustrations/card/ill_59853_shinseirabendateichan03.jpg", "■")</f>
        <v>■</v>
      </c>
      <c r="G11" s="4" t="s">
        <v>848</v>
      </c>
      <c r="J11" s="4">
        <v>6</v>
      </c>
      <c r="K11" s="4">
        <v>6343</v>
      </c>
      <c r="L11" s="4">
        <v>7552</v>
      </c>
      <c r="M11" s="4" t="s">
        <v>609</v>
      </c>
      <c r="N11" s="4" t="s">
        <v>610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D8353-A9DA-4599-BFE9-E8EEBF12ED2D}">
  <dimension ref="A1:O25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4140625" style="4" customWidth="1"/>
    <col min="2" max="2" width="3.9140625" style="4" customWidth="1"/>
    <col min="3" max="3" width="12.25" style="4" customWidth="1"/>
    <col min="4" max="4" width="5.4140625" style="4" customWidth="1"/>
    <col min="5" max="5" width="31" style="4" customWidth="1"/>
    <col min="6" max="6" width="3.9140625" style="4" customWidth="1"/>
    <col min="7" max="7" width="30.9140625" style="4" hidden="1" customWidth="1"/>
    <col min="8" max="8" width="12.9140625" style="4" hidden="1" customWidth="1"/>
    <col min="9" max="9" width="17.33203125" style="4" hidden="1" customWidth="1"/>
    <col min="10" max="10" width="3.75" style="4" customWidth="1"/>
    <col min="11" max="12" width="7.08203125" style="4" customWidth="1"/>
    <col min="13" max="13" width="30.9140625" style="4" hidden="1" customWidth="1"/>
    <col min="14" max="14" width="71" style="4" customWidth="1"/>
    <col min="15" max="15" width="25.9140625" style="4" customWidth="1"/>
    <col min="16" max="17" width="8.9140625" style="4" customWidth="1"/>
    <col min="18" max="16384" width="8.9140625" style="4"/>
  </cols>
  <sheetData>
    <row r="1" spans="1:15" s="1" customFormat="1">
      <c r="A1" s="2" t="s">
        <v>92</v>
      </c>
      <c r="B1" s="2" t="s">
        <v>26</v>
      </c>
      <c r="C1" s="2" t="s">
        <v>19</v>
      </c>
      <c r="D1" s="2" t="s">
        <v>20</v>
      </c>
      <c r="E1" s="2" t="s">
        <v>21</v>
      </c>
      <c r="F1" s="2" t="s">
        <v>93</v>
      </c>
      <c r="G1" s="2" t="s">
        <v>94</v>
      </c>
      <c r="H1" s="3" t="s">
        <v>30</v>
      </c>
      <c r="I1" s="3" t="s">
        <v>22</v>
      </c>
      <c r="J1" s="3" t="s">
        <v>78</v>
      </c>
      <c r="K1" s="3" t="s">
        <v>23</v>
      </c>
      <c r="L1" s="3" t="s">
        <v>24</v>
      </c>
      <c r="M1" s="3" t="s">
        <v>25</v>
      </c>
      <c r="N1" s="3" t="s">
        <v>480</v>
      </c>
      <c r="O1" s="3" t="s">
        <v>936</v>
      </c>
    </row>
    <row r="2" spans="1:15">
      <c r="E2" s="5"/>
      <c r="F2" s="5"/>
    </row>
    <row r="3" spans="1:15">
      <c r="A3" s="4" t="s">
        <v>952</v>
      </c>
      <c r="E3" s="5"/>
      <c r="F3" s="5"/>
    </row>
    <row r="4" spans="1:15">
      <c r="E4" s="5"/>
      <c r="F4" s="5"/>
    </row>
    <row r="5" spans="1:15">
      <c r="A5" s="4">
        <v>60733</v>
      </c>
      <c r="B5" s="4" t="s">
        <v>95</v>
      </c>
      <c r="C5" s="4" t="s">
        <v>450</v>
      </c>
      <c r="D5" s="4" t="s">
        <v>451</v>
      </c>
      <c r="E5" s="4" t="s">
        <v>452</v>
      </c>
      <c r="F5" s="5" t="str">
        <f>HYPERLINK("https://stat100.ameba.jp/tnk47/ratio20/illustrations/card/ill_60733_dannoraminamotoyoshitsune03.jpg", "■")</f>
        <v>■</v>
      </c>
      <c r="G5" s="4" t="s">
        <v>453</v>
      </c>
      <c r="J5" s="4">
        <v>10</v>
      </c>
      <c r="K5" s="4">
        <v>59447</v>
      </c>
      <c r="L5" s="4">
        <v>55274</v>
      </c>
      <c r="M5" s="4" t="s">
        <v>454</v>
      </c>
      <c r="N5" s="4" t="s">
        <v>455</v>
      </c>
      <c r="O5" s="4" t="s">
        <v>967</v>
      </c>
    </row>
    <row r="6" spans="1:15">
      <c r="A6" s="4">
        <v>63433</v>
      </c>
      <c r="B6" s="4" t="s">
        <v>9</v>
      </c>
      <c r="C6" s="4" t="s">
        <v>554</v>
      </c>
      <c r="D6" s="4" t="s">
        <v>559</v>
      </c>
      <c r="E6" s="4" t="s">
        <v>624</v>
      </c>
      <c r="F6" s="5" t="str">
        <f>HYPERLINK("https://stat100.ameba.jp/tnk47/ratio20/illustrations/card/ill_63433_shinseiiwaetonnai03.jpg", "■")</f>
        <v>■</v>
      </c>
      <c r="G6" s="4" t="s">
        <v>849</v>
      </c>
      <c r="J6" s="4">
        <v>13</v>
      </c>
      <c r="K6" s="4">
        <v>33384</v>
      </c>
      <c r="L6" s="4">
        <v>30283</v>
      </c>
      <c r="M6" s="4" t="s">
        <v>625</v>
      </c>
      <c r="N6" s="4" t="s">
        <v>626</v>
      </c>
    </row>
    <row r="7" spans="1:15">
      <c r="A7" s="4">
        <v>60753</v>
      </c>
      <c r="B7" s="4" t="s">
        <v>9</v>
      </c>
      <c r="C7" s="4" t="s">
        <v>283</v>
      </c>
      <c r="D7" s="4" t="s">
        <v>51</v>
      </c>
      <c r="E7" s="4" t="s">
        <v>447</v>
      </c>
      <c r="F7" s="5" t="str">
        <f>HYPERLINK("https://stat100.ameba.jp/tnk47/ratio20/illustrations/card/ill_60753_tairanomunemori03.jpg", "■")</f>
        <v>■</v>
      </c>
      <c r="G7" s="4" t="s">
        <v>850</v>
      </c>
      <c r="J7" s="4">
        <v>6</v>
      </c>
      <c r="K7" s="4">
        <v>16130</v>
      </c>
      <c r="L7" s="4">
        <v>17784</v>
      </c>
      <c r="M7" s="4" t="s">
        <v>448</v>
      </c>
      <c r="N7" s="4" t="s">
        <v>449</v>
      </c>
    </row>
    <row r="8" spans="1:15">
      <c r="A8" s="4">
        <v>60743</v>
      </c>
      <c r="B8" s="4" t="s">
        <v>9</v>
      </c>
      <c r="C8" s="4" t="s">
        <v>565</v>
      </c>
      <c r="D8" s="4" t="s">
        <v>622</v>
      </c>
      <c r="E8" s="4" t="s">
        <v>621</v>
      </c>
      <c r="F8" s="5" t="str">
        <f>HYPERLINK("https://stat100.ameba.jp/tnk47/ratio20/illustrations/card/ill_60743_satotsugunobu03.jpg", "■")</f>
        <v>■</v>
      </c>
      <c r="G8" s="4" t="s">
        <v>851</v>
      </c>
      <c r="J8" s="4">
        <v>10</v>
      </c>
      <c r="K8" s="4">
        <v>29640</v>
      </c>
      <c r="L8" s="4">
        <v>26884</v>
      </c>
      <c r="M8" s="4" t="s">
        <v>623</v>
      </c>
      <c r="N8" s="4" t="s">
        <v>679</v>
      </c>
    </row>
    <row r="9" spans="1:15">
      <c r="A9" s="4">
        <v>60773</v>
      </c>
      <c r="B9" s="4" t="s">
        <v>10</v>
      </c>
      <c r="C9" s="4" t="s">
        <v>599</v>
      </c>
      <c r="D9" s="4" t="s">
        <v>622</v>
      </c>
      <c r="E9" s="4" t="s">
        <v>630</v>
      </c>
      <c r="F9" s="5" t="str">
        <f>HYPERLINK("https://stat100.ameba.jp/tnk47/ratio20/illustrations/card/ill_60773_shinseiokudairasadaharu03.jpg", "■")</f>
        <v>■</v>
      </c>
      <c r="G9" s="4" t="s">
        <v>852</v>
      </c>
      <c r="J9" s="4">
        <v>9</v>
      </c>
      <c r="K9" s="4">
        <v>18712</v>
      </c>
      <c r="L9" s="4">
        <v>15559</v>
      </c>
      <c r="M9" s="4" t="s">
        <v>631</v>
      </c>
      <c r="N9" s="4" t="s">
        <v>632</v>
      </c>
    </row>
    <row r="10" spans="1:15">
      <c r="A10" s="4">
        <v>60783</v>
      </c>
      <c r="B10" s="4" t="s">
        <v>10</v>
      </c>
      <c r="C10" s="4" t="s">
        <v>558</v>
      </c>
      <c r="D10" s="4" t="s">
        <v>622</v>
      </c>
      <c r="E10" s="4" t="s">
        <v>627</v>
      </c>
      <c r="F10" s="5" t="str">
        <f>HYPERLINK("https://stat100.ameba.jp/tnk47/ratio20/illustrations/card/ill_60783_shinseitairanonoritsune03.jpg", "■")</f>
        <v>■</v>
      </c>
      <c r="G10" s="4" t="s">
        <v>853</v>
      </c>
      <c r="J10" s="4">
        <v>8</v>
      </c>
      <c r="K10" s="4">
        <v>13830</v>
      </c>
      <c r="L10" s="4">
        <v>16633</v>
      </c>
      <c r="M10" s="4" t="s">
        <v>628</v>
      </c>
      <c r="N10" s="4" t="s">
        <v>629</v>
      </c>
    </row>
    <row r="11" spans="1:15">
      <c r="A11" s="4">
        <v>63453</v>
      </c>
      <c r="B11" s="4" t="s">
        <v>11</v>
      </c>
      <c r="C11" s="4" t="s">
        <v>634</v>
      </c>
      <c r="D11" s="4" t="s">
        <v>555</v>
      </c>
      <c r="E11" s="4" t="s">
        <v>633</v>
      </c>
      <c r="F11" s="5" t="str">
        <f>HYPERLINK("https://stat100.ameba.jp/tnk47/ratio20/illustrations/card/ill_63453_shinseisakuratoro03.jpg", "■")</f>
        <v>■</v>
      </c>
      <c r="G11" s="4" t="s">
        <v>854</v>
      </c>
      <c r="J11" s="4">
        <v>9</v>
      </c>
      <c r="K11" s="4">
        <v>11329</v>
      </c>
      <c r="L11" s="4">
        <v>9514</v>
      </c>
      <c r="M11" s="4" t="s">
        <v>635</v>
      </c>
      <c r="N11" s="4" t="s">
        <v>636</v>
      </c>
    </row>
    <row r="12" spans="1:15">
      <c r="A12" s="4">
        <v>63463</v>
      </c>
      <c r="B12" s="4" t="s">
        <v>11</v>
      </c>
      <c r="C12" s="4" t="s">
        <v>638</v>
      </c>
      <c r="D12" s="4" t="s">
        <v>555</v>
      </c>
      <c r="E12" s="4" t="s">
        <v>639</v>
      </c>
      <c r="F12" s="5" t="str">
        <f>HYPERLINK("https://stat100.ameba.jp/tnk47/ratio20/illustrations/card/ill_63463_shinseisakuramatsuritaraikogikyoso03.jpg", "■")</f>
        <v>■</v>
      </c>
      <c r="G12" s="4" t="s">
        <v>855</v>
      </c>
      <c r="J12" s="4">
        <v>9</v>
      </c>
      <c r="K12" s="4">
        <v>9514</v>
      </c>
      <c r="L12" s="4">
        <v>11329</v>
      </c>
      <c r="M12" s="4" t="s">
        <v>637</v>
      </c>
      <c r="N12" s="4" t="s">
        <v>617</v>
      </c>
    </row>
    <row r="13" spans="1:15">
      <c r="A13" s="4">
        <v>60793</v>
      </c>
      <c r="B13" s="4" t="s">
        <v>11</v>
      </c>
      <c r="C13" s="4" t="s">
        <v>641</v>
      </c>
      <c r="D13" s="4" t="s">
        <v>622</v>
      </c>
      <c r="E13" s="4" t="s">
        <v>640</v>
      </c>
      <c r="F13" s="5" t="str">
        <f>HYPERLINK("https://stat100.ameba.jp/tnk47/ratio20/illustrations/card/ill_60793_shinseiobakagechika03.jpg", "■")</f>
        <v>■</v>
      </c>
      <c r="G13" s="4" t="s">
        <v>856</v>
      </c>
      <c r="J13" s="4">
        <v>6</v>
      </c>
      <c r="K13" s="4">
        <v>6343</v>
      </c>
      <c r="L13" s="4">
        <v>7552</v>
      </c>
      <c r="M13" s="4" t="s">
        <v>642</v>
      </c>
      <c r="N13" s="4" t="s">
        <v>643</v>
      </c>
    </row>
    <row r="15" spans="1:15">
      <c r="A15" s="4" t="s">
        <v>153</v>
      </c>
    </row>
    <row r="16" spans="1:15">
      <c r="A16" s="4">
        <v>52533</v>
      </c>
      <c r="B16" s="4" t="s">
        <v>9</v>
      </c>
      <c r="C16" s="4" t="s">
        <v>145</v>
      </c>
      <c r="D16" s="4" t="s">
        <v>189</v>
      </c>
      <c r="E16" s="4" t="s">
        <v>413</v>
      </c>
      <c r="F16" s="5" t="str">
        <f>HYPERLINK("https://stat100.ameba.jp/tnk47/ratio20/illustrations/card/ill_52533_shinseiyagyosan03.jpg", "■")</f>
        <v>■</v>
      </c>
      <c r="G16" s="4" t="s">
        <v>829</v>
      </c>
      <c r="H16" s="4" t="s">
        <v>7</v>
      </c>
      <c r="I16" s="4" t="s">
        <v>419</v>
      </c>
      <c r="J16" s="4">
        <v>14</v>
      </c>
      <c r="K16" s="4">
        <v>20748</v>
      </c>
      <c r="L16" s="4">
        <v>23044</v>
      </c>
      <c r="M16" s="4" t="s">
        <v>830</v>
      </c>
      <c r="N16" s="4" t="s">
        <v>1</v>
      </c>
      <c r="O16" t="s">
        <v>933</v>
      </c>
    </row>
    <row r="17" spans="1:15">
      <c r="A17" s="4">
        <v>53823</v>
      </c>
      <c r="B17" s="4" t="s">
        <v>9</v>
      </c>
      <c r="C17" s="4" t="s">
        <v>149</v>
      </c>
      <c r="D17" s="4" t="s">
        <v>186</v>
      </c>
      <c r="E17" s="4" t="s">
        <v>414</v>
      </c>
      <c r="F17" s="5" t="str">
        <f>HYPERLINK("https://stat100.ameba.jp/tnk47/ratio20/illustrations/card/ill_53823_shinseininkenhatsumenotsubone03.jpg", "■")</f>
        <v>■</v>
      </c>
      <c r="G17" s="4" t="s">
        <v>831</v>
      </c>
      <c r="H17" s="4" t="s">
        <v>412</v>
      </c>
      <c r="I17" s="4" t="s">
        <v>977</v>
      </c>
      <c r="J17" s="4">
        <v>14</v>
      </c>
      <c r="K17" s="4">
        <v>23044</v>
      </c>
      <c r="L17" s="4">
        <v>20748</v>
      </c>
      <c r="M17" s="4" t="s">
        <v>832</v>
      </c>
      <c r="N17" s="4" t="s">
        <v>2</v>
      </c>
      <c r="O17" t="s">
        <v>933</v>
      </c>
    </row>
    <row r="18" spans="1:15">
      <c r="A18" s="4">
        <v>64153</v>
      </c>
      <c r="B18" s="4" t="s">
        <v>9</v>
      </c>
      <c r="C18" s="4" t="s">
        <v>151</v>
      </c>
      <c r="D18" s="4" t="s">
        <v>148</v>
      </c>
      <c r="E18" s="4" t="s">
        <v>415</v>
      </c>
      <c r="F18" s="5" t="str">
        <f>HYPERLINK("https://stat100.ameba.jp/tnk47/ratio20/illustrations/card/ill_64153_tsurumarukuninaga03.jpg", "■")</f>
        <v>■</v>
      </c>
      <c r="G18" s="4" t="s">
        <v>833</v>
      </c>
      <c r="H18" s="4" t="s">
        <v>412</v>
      </c>
      <c r="I18" s="4" t="s">
        <v>977</v>
      </c>
      <c r="J18" s="4">
        <v>14</v>
      </c>
      <c r="K18" s="4">
        <v>23044</v>
      </c>
      <c r="L18" s="4">
        <v>20748</v>
      </c>
      <c r="M18" s="4" t="s">
        <v>834</v>
      </c>
      <c r="N18" s="4" t="s">
        <v>3</v>
      </c>
      <c r="O18" t="s">
        <v>933</v>
      </c>
    </row>
    <row r="19" spans="1:15">
      <c r="A19" s="4">
        <v>44311</v>
      </c>
      <c r="B19" s="4" t="s">
        <v>9</v>
      </c>
      <c r="C19" s="4" t="s">
        <v>145</v>
      </c>
      <c r="D19" s="4" t="s">
        <v>146</v>
      </c>
      <c r="E19" s="4" t="s">
        <v>134</v>
      </c>
      <c r="F19" s="5" t="str">
        <f>HYPERLINK("https://stat100.ameba.jp/tnk47/ratio20/illustrations/card/ill_44311_shinseitoshusaisharaku01.jpg", "■")</f>
        <v>■</v>
      </c>
      <c r="G19" s="4" t="s">
        <v>127</v>
      </c>
      <c r="H19" s="4" t="s">
        <v>411</v>
      </c>
      <c r="I19" s="4" t="s">
        <v>977</v>
      </c>
      <c r="J19" s="4">
        <v>14</v>
      </c>
      <c r="K19" s="4">
        <v>23044</v>
      </c>
      <c r="L19" s="4">
        <v>20748</v>
      </c>
      <c r="M19" s="4" t="s">
        <v>40</v>
      </c>
      <c r="N19" s="4" t="s">
        <v>116</v>
      </c>
    </row>
    <row r="20" spans="1:15">
      <c r="A20" s="4">
        <v>45221</v>
      </c>
      <c r="B20" s="4" t="s">
        <v>9</v>
      </c>
      <c r="C20" s="4" t="s">
        <v>147</v>
      </c>
      <c r="D20" s="4" t="s">
        <v>148</v>
      </c>
      <c r="E20" s="4" t="s">
        <v>135</v>
      </c>
      <c r="F20" s="5" t="str">
        <f>HYPERLINK("https://stat100.ameba.jp/tnk47/ratio20/illustrations/card/ill_45221_shinseiamaterasu01.jpg", "■")</f>
        <v>■</v>
      </c>
      <c r="G20" s="4" t="s">
        <v>128</v>
      </c>
      <c r="H20" s="4" t="s">
        <v>412</v>
      </c>
      <c r="I20" s="4" t="s">
        <v>400</v>
      </c>
      <c r="J20" s="4">
        <v>14</v>
      </c>
      <c r="K20" s="4">
        <v>23044</v>
      </c>
      <c r="L20" s="4">
        <v>20748</v>
      </c>
      <c r="M20" s="4" t="s">
        <v>41</v>
      </c>
      <c r="N20" s="4" t="s">
        <v>117</v>
      </c>
    </row>
    <row r="21" spans="1:15">
      <c r="A21" s="4">
        <v>45311</v>
      </c>
      <c r="B21" s="4" t="s">
        <v>9</v>
      </c>
      <c r="C21" s="4" t="s">
        <v>149</v>
      </c>
      <c r="D21" s="4" t="s">
        <v>150</v>
      </c>
      <c r="E21" s="4" t="s">
        <v>136</v>
      </c>
      <c r="F21" s="5" t="str">
        <f>HYPERLINK("https://stat100.ameba.jp/tnk47/ratio20/illustrations/card/ill_45311_shinseikushikatsuchan01.jpg", "■")</f>
        <v>■</v>
      </c>
      <c r="G21" s="4" t="s">
        <v>31</v>
      </c>
      <c r="H21" s="4" t="s">
        <v>412</v>
      </c>
      <c r="I21" s="4" t="s">
        <v>400</v>
      </c>
      <c r="J21" s="4">
        <v>14</v>
      </c>
      <c r="K21" s="4">
        <v>23044</v>
      </c>
      <c r="L21" s="4">
        <v>20748</v>
      </c>
      <c r="M21" s="4" t="s">
        <v>42</v>
      </c>
      <c r="N21" s="4" t="s">
        <v>118</v>
      </c>
    </row>
    <row r="22" spans="1:15">
      <c r="A22" s="4">
        <v>47291</v>
      </c>
      <c r="B22" s="4" t="s">
        <v>9</v>
      </c>
      <c r="C22" s="4" t="s">
        <v>149</v>
      </c>
      <c r="D22" s="4" t="s">
        <v>141</v>
      </c>
      <c r="E22" s="4" t="s">
        <v>137</v>
      </c>
      <c r="F22" s="5" t="str">
        <f>HYPERLINK("https://stat100.ameba.jp/tnk47/ratio20/illustrations/card/ill_47291_shinseioeyamaonidensetsuminamotonoyorimitsu01.jpg", "■")</f>
        <v>■</v>
      </c>
      <c r="G22" s="4" t="s">
        <v>130</v>
      </c>
      <c r="H22" s="4" t="s">
        <v>412</v>
      </c>
      <c r="I22" s="4" t="s">
        <v>400</v>
      </c>
      <c r="J22" s="4">
        <v>14</v>
      </c>
      <c r="K22" s="4">
        <v>20748</v>
      </c>
      <c r="L22" s="4">
        <v>23044</v>
      </c>
      <c r="M22" s="4" t="s">
        <v>43</v>
      </c>
      <c r="N22" s="4" t="s">
        <v>119</v>
      </c>
    </row>
    <row r="23" spans="1:15">
      <c r="A23" s="4">
        <v>48071</v>
      </c>
      <c r="B23" s="4" t="s">
        <v>9</v>
      </c>
      <c r="C23" s="4" t="s">
        <v>151</v>
      </c>
      <c r="D23" s="4" t="s">
        <v>144</v>
      </c>
      <c r="E23" s="4" t="s">
        <v>138</v>
      </c>
      <c r="F23" s="5" t="str">
        <f>HYPERLINK("https://stat100.ameba.jp/tnk47/ratio20/illustrations/card/ill_48071_shinseiseiyaakarengasokochan01.jpg", "■")</f>
        <v>■</v>
      </c>
      <c r="G23" s="4" t="s">
        <v>131</v>
      </c>
      <c r="H23" s="4" t="s">
        <v>412</v>
      </c>
      <c r="I23" s="4" t="s">
        <v>400</v>
      </c>
      <c r="J23" s="4">
        <v>14</v>
      </c>
      <c r="K23" s="4">
        <v>20748</v>
      </c>
      <c r="L23" s="4">
        <v>23044</v>
      </c>
      <c r="M23" s="4" t="s">
        <v>44</v>
      </c>
      <c r="N23" s="4" t="s">
        <v>120</v>
      </c>
    </row>
    <row r="24" spans="1:15">
      <c r="A24" s="4">
        <v>48511</v>
      </c>
      <c r="B24" s="4" t="s">
        <v>9</v>
      </c>
      <c r="C24" s="4" t="s">
        <v>142</v>
      </c>
      <c r="D24" s="4" t="s">
        <v>143</v>
      </c>
      <c r="E24" s="4" t="s">
        <v>139</v>
      </c>
      <c r="F24" s="5" t="str">
        <f>HYPERLINK("https://stat100.ameba.jp/tnk47/ratio20/illustrations/card/ill_48511_shinseishimaduyoshihiro01.jpg", "■")</f>
        <v>■</v>
      </c>
      <c r="G24" s="4" t="s">
        <v>132</v>
      </c>
      <c r="H24" s="4" t="s">
        <v>412</v>
      </c>
      <c r="I24" s="4" t="s">
        <v>400</v>
      </c>
      <c r="J24" s="4">
        <v>14</v>
      </c>
      <c r="K24" s="4">
        <v>20748</v>
      </c>
      <c r="L24" s="4">
        <v>23044</v>
      </c>
      <c r="M24" s="4" t="s">
        <v>45</v>
      </c>
      <c r="N24" s="4" t="s">
        <v>121</v>
      </c>
    </row>
    <row r="25" spans="1:15">
      <c r="A25" s="4">
        <v>49541</v>
      </c>
      <c r="B25" s="4" t="s">
        <v>9</v>
      </c>
      <c r="C25" s="4" t="s">
        <v>149</v>
      </c>
      <c r="D25" s="4" t="s">
        <v>152</v>
      </c>
      <c r="E25" s="4" t="s">
        <v>140</v>
      </c>
      <c r="F25" s="5" t="str">
        <f>HYPERLINK("https://stat100.ameba.jp/tnk47/ratio20/illustrations/card/ill_49541_shinseishichiseikenshoutokutaishi01.jpg", "■")</f>
        <v>■</v>
      </c>
      <c r="G25" s="4" t="s">
        <v>133</v>
      </c>
      <c r="H25" s="4" t="s">
        <v>412</v>
      </c>
      <c r="I25" s="4" t="s">
        <v>977</v>
      </c>
      <c r="J25" s="4">
        <v>14</v>
      </c>
      <c r="K25" s="4">
        <v>23044</v>
      </c>
      <c r="L25" s="4">
        <v>20748</v>
      </c>
      <c r="M25" s="4" t="s">
        <v>46</v>
      </c>
      <c r="N25" s="4" t="s">
        <v>122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AA325-9F82-4735-B86F-7D518B77EB92}">
  <dimension ref="A1:O23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4140625" style="4" customWidth="1"/>
    <col min="2" max="2" width="3.9140625" style="4" customWidth="1"/>
    <col min="3" max="3" width="12.25" style="4" customWidth="1"/>
    <col min="4" max="4" width="5.4140625" style="4" customWidth="1"/>
    <col min="5" max="5" width="31" style="4" customWidth="1"/>
    <col min="6" max="6" width="3.9140625" style="4" customWidth="1"/>
    <col min="7" max="7" width="30.9140625" style="4" hidden="1" customWidth="1"/>
    <col min="8" max="8" width="12.9140625" style="4" hidden="1" customWidth="1"/>
    <col min="9" max="9" width="17.33203125" style="4" hidden="1" customWidth="1"/>
    <col min="10" max="10" width="3.75" style="4" customWidth="1"/>
    <col min="11" max="12" width="7.08203125" style="4" customWidth="1"/>
    <col min="13" max="13" width="30.9140625" style="4" hidden="1" customWidth="1"/>
    <col min="14" max="14" width="71" style="4" customWidth="1"/>
    <col min="15" max="15" width="25.9140625" style="4" customWidth="1"/>
    <col min="16" max="17" width="8.9140625" style="4" customWidth="1"/>
    <col min="18" max="16384" width="8.9140625" style="4"/>
  </cols>
  <sheetData>
    <row r="1" spans="1:15" s="1" customFormat="1">
      <c r="A1" s="2" t="s">
        <v>92</v>
      </c>
      <c r="B1" s="2" t="s">
        <v>26</v>
      </c>
      <c r="C1" s="2" t="s">
        <v>19</v>
      </c>
      <c r="D1" s="2" t="s">
        <v>20</v>
      </c>
      <c r="E1" s="2" t="s">
        <v>21</v>
      </c>
      <c r="F1" s="2" t="s">
        <v>93</v>
      </c>
      <c r="G1" s="2" t="s">
        <v>94</v>
      </c>
      <c r="H1" s="3" t="s">
        <v>30</v>
      </c>
      <c r="I1" s="3" t="s">
        <v>22</v>
      </c>
      <c r="J1" s="3" t="s">
        <v>78</v>
      </c>
      <c r="K1" s="3" t="s">
        <v>23</v>
      </c>
      <c r="L1" s="3" t="s">
        <v>24</v>
      </c>
      <c r="M1" s="3" t="s">
        <v>25</v>
      </c>
      <c r="N1" s="3" t="s">
        <v>480</v>
      </c>
      <c r="O1" s="3" t="s">
        <v>936</v>
      </c>
    </row>
    <row r="2" spans="1:15">
      <c r="E2" s="5"/>
      <c r="F2" s="5"/>
    </row>
    <row r="3" spans="1:15">
      <c r="A3" s="4">
        <v>62053</v>
      </c>
      <c r="B3" s="4" t="s">
        <v>95</v>
      </c>
      <c r="C3" s="4" t="s">
        <v>179</v>
      </c>
      <c r="D3" s="4" t="s">
        <v>456</v>
      </c>
      <c r="E3" s="4" t="s">
        <v>457</v>
      </c>
      <c r="F3" s="5" t="str">
        <f>HYPERLINK("https://stat100.ameba.jp/tnk47/ratio20/illustrations/card/ill_62053_niijimajo03.jpg", "■")</f>
        <v>■</v>
      </c>
      <c r="G3" s="4" t="s">
        <v>458</v>
      </c>
      <c r="J3" s="4">
        <v>10</v>
      </c>
      <c r="K3" s="4">
        <v>39061</v>
      </c>
      <c r="L3" s="4">
        <v>36304</v>
      </c>
      <c r="M3" s="4" t="s">
        <v>459</v>
      </c>
      <c r="N3" s="4" t="s">
        <v>331</v>
      </c>
    </row>
    <row r="4" spans="1:15">
      <c r="A4" s="4">
        <v>63663</v>
      </c>
      <c r="B4" s="4" t="s">
        <v>9</v>
      </c>
      <c r="C4" s="4" t="s">
        <v>645</v>
      </c>
      <c r="D4" s="4" t="s">
        <v>646</v>
      </c>
      <c r="E4" s="4" t="s">
        <v>644</v>
      </c>
      <c r="F4" s="5" t="str">
        <f>HYPERLINK("https://stat100.ameba.jp/tnk47/ratio20/illustrations/card/ill_63663_kishimojin03.jpg", "■")</f>
        <v>■</v>
      </c>
      <c r="G4" s="4" t="s">
        <v>857</v>
      </c>
      <c r="J4" s="4">
        <v>13</v>
      </c>
      <c r="K4" s="4">
        <v>33384</v>
      </c>
      <c r="L4" s="4">
        <v>30283</v>
      </c>
      <c r="M4" s="4" t="s">
        <v>647</v>
      </c>
      <c r="N4" s="4" t="s">
        <v>648</v>
      </c>
    </row>
    <row r="5" spans="1:15">
      <c r="A5" s="4">
        <v>62063</v>
      </c>
      <c r="B5" s="4" t="s">
        <v>9</v>
      </c>
      <c r="C5" s="4" t="s">
        <v>151</v>
      </c>
      <c r="D5" s="4" t="s">
        <v>320</v>
      </c>
      <c r="E5" s="4" t="s">
        <v>444</v>
      </c>
      <c r="F5" s="5" t="str">
        <f>HYPERLINK("https://stat100.ameba.jp/tnk47/ratio20/illustrations/card/ill_62063_soshishainokuchiakuri03.jpg", "■")</f>
        <v>■</v>
      </c>
      <c r="G5" s="4" t="s">
        <v>858</v>
      </c>
      <c r="J5" s="4">
        <v>6</v>
      </c>
      <c r="K5" s="4">
        <v>16130</v>
      </c>
      <c r="L5" s="4">
        <v>17784</v>
      </c>
      <c r="M5" s="4" t="s">
        <v>445</v>
      </c>
      <c r="N5" s="4" t="s">
        <v>446</v>
      </c>
    </row>
    <row r="6" spans="1:15">
      <c r="A6" s="4">
        <v>62073</v>
      </c>
      <c r="B6" s="4" t="s">
        <v>9</v>
      </c>
      <c r="C6" s="4" t="s">
        <v>650</v>
      </c>
      <c r="D6" s="4" t="s">
        <v>651</v>
      </c>
      <c r="E6" s="4" t="s">
        <v>649</v>
      </c>
      <c r="F6" s="5" t="str">
        <f>HYPERLINK("https://stat100.ameba.jp/tnk47/ratio20/illustrations/card/ill_62073_umemurakiyomitsu03.jpg", "■")</f>
        <v>■</v>
      </c>
      <c r="G6" s="4" t="s">
        <v>859</v>
      </c>
      <c r="J6" s="4">
        <v>10</v>
      </c>
      <c r="K6" s="4">
        <v>29640</v>
      </c>
      <c r="L6" s="4">
        <v>26884</v>
      </c>
      <c r="M6" s="4" t="s">
        <v>652</v>
      </c>
      <c r="N6" s="4" t="s">
        <v>680</v>
      </c>
    </row>
    <row r="7" spans="1:15">
      <c r="A7" s="4">
        <v>62093</v>
      </c>
      <c r="B7" s="4" t="s">
        <v>10</v>
      </c>
      <c r="C7" s="4" t="s">
        <v>658</v>
      </c>
      <c r="D7" s="4" t="s">
        <v>651</v>
      </c>
      <c r="E7" s="4" t="s">
        <v>657</v>
      </c>
      <c r="F7" s="5" t="str">
        <f>HYPERLINK("https://stat100.ameba.jp/tnk47/ratio20/illustrations/card/ill_62093_shinseisenkushakusumotoine03.jpg", "■")</f>
        <v>■</v>
      </c>
      <c r="G7" s="4" t="s">
        <v>860</v>
      </c>
      <c r="J7" s="4">
        <v>9</v>
      </c>
      <c r="K7" s="4">
        <v>15559</v>
      </c>
      <c r="L7" s="4">
        <v>18712</v>
      </c>
      <c r="M7" s="4" t="s">
        <v>659</v>
      </c>
      <c r="N7" s="4" t="s">
        <v>660</v>
      </c>
    </row>
    <row r="8" spans="1:15">
      <c r="A8" s="4">
        <v>62083</v>
      </c>
      <c r="B8" s="4" t="s">
        <v>10</v>
      </c>
      <c r="C8" s="4" t="s">
        <v>654</v>
      </c>
      <c r="D8" s="4" t="s">
        <v>651</v>
      </c>
      <c r="E8" s="4" t="s">
        <v>653</v>
      </c>
      <c r="F8" s="5" t="str">
        <f>HYPERLINK("https://stat100.ameba.jp/tnk47/ratio20/illustrations/card/ill_62083_shinseisenkushatadanomakuzu03.jpg", "■")</f>
        <v>■</v>
      </c>
      <c r="G8" s="4" t="s">
        <v>861</v>
      </c>
      <c r="J8" s="4">
        <v>8</v>
      </c>
      <c r="K8" s="4">
        <v>16633</v>
      </c>
      <c r="L8" s="4">
        <v>13830</v>
      </c>
      <c r="M8" s="4" t="s">
        <v>655</v>
      </c>
      <c r="N8" s="4" t="s">
        <v>656</v>
      </c>
    </row>
    <row r="9" spans="1:15">
      <c r="A9" s="4">
        <v>63683</v>
      </c>
      <c r="B9" s="4" t="s">
        <v>11</v>
      </c>
      <c r="C9" s="4" t="s">
        <v>662</v>
      </c>
      <c r="D9" s="4" t="s">
        <v>646</v>
      </c>
      <c r="E9" s="4" t="s">
        <v>661</v>
      </c>
      <c r="F9" s="5" t="str">
        <f>HYPERLINK("https://stat100.ameba.jp/tnk47/ratio20/illustrations/card/ill_63683_meibokusendaihagi03.jpg", "■")</f>
        <v>■</v>
      </c>
      <c r="G9" s="4" t="s">
        <v>862</v>
      </c>
      <c r="J9" s="4">
        <v>9</v>
      </c>
      <c r="K9" s="4">
        <v>11329</v>
      </c>
      <c r="L9" s="4">
        <v>9514</v>
      </c>
      <c r="M9" s="4" t="s">
        <v>663</v>
      </c>
      <c r="N9" s="4" t="s">
        <v>664</v>
      </c>
    </row>
    <row r="10" spans="1:15">
      <c r="A10" s="4">
        <v>63693</v>
      </c>
      <c r="B10" s="4" t="s">
        <v>11</v>
      </c>
      <c r="C10" s="4" t="s">
        <v>666</v>
      </c>
      <c r="D10" s="4" t="s">
        <v>667</v>
      </c>
      <c r="E10" s="4" t="s">
        <v>665</v>
      </c>
      <c r="F10" s="5" t="str">
        <f>HYPERLINK("https://stat100.ameba.jp/tnk47/ratio20/illustrations/card/ill_63693_gokuhimekamejuhime03.jpg", "■")</f>
        <v>■</v>
      </c>
      <c r="G10" s="4" t="s">
        <v>863</v>
      </c>
      <c r="J10" s="4">
        <v>9</v>
      </c>
      <c r="K10" s="4">
        <v>9514</v>
      </c>
      <c r="L10" s="4">
        <v>11329</v>
      </c>
      <c r="M10" s="4" t="s">
        <v>668</v>
      </c>
      <c r="N10" s="4" t="s">
        <v>669</v>
      </c>
    </row>
    <row r="11" spans="1:15">
      <c r="A11" s="4">
        <v>62103</v>
      </c>
      <c r="B11" s="4" t="s">
        <v>11</v>
      </c>
      <c r="C11" s="4" t="s">
        <v>671</v>
      </c>
      <c r="D11" s="4" t="s">
        <v>651</v>
      </c>
      <c r="E11" s="4" t="s">
        <v>670</v>
      </c>
      <c r="F11" s="5" t="str">
        <f>HYPERLINK("https://stat100.ameba.jp/tnk47/ratio20/illustrations/card/ill_62103_shinseiitohirofumi03.jpg", "■")</f>
        <v>■</v>
      </c>
      <c r="G11" s="4" t="s">
        <v>864</v>
      </c>
      <c r="J11" s="4">
        <v>6</v>
      </c>
      <c r="K11" s="4">
        <v>6343</v>
      </c>
      <c r="L11" s="4">
        <v>7552</v>
      </c>
      <c r="M11" s="4" t="s">
        <v>672</v>
      </c>
      <c r="N11" s="4" t="s">
        <v>673</v>
      </c>
    </row>
    <row r="13" spans="1:15">
      <c r="A13" s="4" t="s">
        <v>153</v>
      </c>
    </row>
    <row r="14" spans="1:15">
      <c r="A14" s="4">
        <v>52533</v>
      </c>
      <c r="B14" s="4" t="s">
        <v>9</v>
      </c>
      <c r="C14" s="4" t="s">
        <v>145</v>
      </c>
      <c r="D14" s="4" t="s">
        <v>189</v>
      </c>
      <c r="E14" s="4" t="s">
        <v>413</v>
      </c>
      <c r="F14" s="5" t="str">
        <f>HYPERLINK("https://stat100.ameba.jp/tnk47/ratio20/illustrations/card/ill_52533_shinseiyagyosan03.jpg", "■")</f>
        <v>■</v>
      </c>
      <c r="G14" s="4" t="s">
        <v>829</v>
      </c>
      <c r="H14" s="4" t="s">
        <v>422</v>
      </c>
      <c r="I14" s="4" t="s">
        <v>419</v>
      </c>
      <c r="J14" s="4">
        <v>14</v>
      </c>
      <c r="K14" s="4">
        <v>20748</v>
      </c>
      <c r="L14" s="4">
        <v>23044</v>
      </c>
      <c r="M14" s="4" t="s">
        <v>830</v>
      </c>
      <c r="N14" s="4" t="s">
        <v>1</v>
      </c>
      <c r="O14" t="s">
        <v>933</v>
      </c>
    </row>
    <row r="15" spans="1:15">
      <c r="A15" s="4">
        <v>53823</v>
      </c>
      <c r="B15" s="4" t="s">
        <v>9</v>
      </c>
      <c r="C15" s="4" t="s">
        <v>149</v>
      </c>
      <c r="D15" s="4" t="s">
        <v>186</v>
      </c>
      <c r="E15" s="4" t="s">
        <v>414</v>
      </c>
      <c r="F15" s="5" t="str">
        <f>HYPERLINK("https://stat100.ameba.jp/tnk47/ratio20/illustrations/card/ill_53823_shinseininkenhatsumenotsubone03.jpg", "■")</f>
        <v>■</v>
      </c>
      <c r="G15" s="4" t="s">
        <v>831</v>
      </c>
      <c r="H15" s="4" t="s">
        <v>412</v>
      </c>
      <c r="I15" s="4" t="s">
        <v>977</v>
      </c>
      <c r="J15" s="4">
        <v>14</v>
      </c>
      <c r="K15" s="4">
        <v>23044</v>
      </c>
      <c r="L15" s="4">
        <v>20748</v>
      </c>
      <c r="M15" s="4" t="s">
        <v>832</v>
      </c>
      <c r="N15" s="4" t="s">
        <v>2</v>
      </c>
      <c r="O15" t="s">
        <v>933</v>
      </c>
    </row>
    <row r="16" spans="1:15">
      <c r="A16" s="4">
        <v>64153</v>
      </c>
      <c r="B16" s="4" t="s">
        <v>9</v>
      </c>
      <c r="C16" s="4" t="s">
        <v>151</v>
      </c>
      <c r="D16" s="4" t="s">
        <v>148</v>
      </c>
      <c r="E16" s="4" t="s">
        <v>415</v>
      </c>
      <c r="F16" s="5" t="str">
        <f>HYPERLINK("https://stat100.ameba.jp/tnk47/ratio20/illustrations/card/ill_64153_tsurumarukuninaga03.jpg", "■")</f>
        <v>■</v>
      </c>
      <c r="G16" s="4" t="s">
        <v>833</v>
      </c>
      <c r="H16" s="4" t="s">
        <v>412</v>
      </c>
      <c r="I16" s="4" t="s">
        <v>977</v>
      </c>
      <c r="J16" s="4">
        <v>14</v>
      </c>
      <c r="K16" s="4">
        <v>23044</v>
      </c>
      <c r="L16" s="4">
        <v>20748</v>
      </c>
      <c r="M16" s="4" t="s">
        <v>834</v>
      </c>
      <c r="N16" s="4" t="s">
        <v>3</v>
      </c>
      <c r="O16" t="s">
        <v>933</v>
      </c>
    </row>
    <row r="17" spans="1:14">
      <c r="A17" s="4">
        <v>44311</v>
      </c>
      <c r="B17" s="4" t="s">
        <v>9</v>
      </c>
      <c r="C17" s="4" t="s">
        <v>145</v>
      </c>
      <c r="D17" s="4" t="s">
        <v>146</v>
      </c>
      <c r="E17" s="4" t="s">
        <v>134</v>
      </c>
      <c r="F17" s="5" t="str">
        <f>HYPERLINK("https://stat100.ameba.jp/tnk47/ratio20/illustrations/card/ill_44311_shinseitoshusaisharaku01.jpg", "■")</f>
        <v>■</v>
      </c>
      <c r="G17" s="4" t="s">
        <v>127</v>
      </c>
      <c r="H17" s="4" t="s">
        <v>0</v>
      </c>
      <c r="I17" s="4" t="s">
        <v>977</v>
      </c>
      <c r="J17" s="4">
        <v>14</v>
      </c>
      <c r="K17" s="4">
        <v>23044</v>
      </c>
      <c r="L17" s="4">
        <v>20748</v>
      </c>
      <c r="M17" s="4" t="s">
        <v>40</v>
      </c>
      <c r="N17" s="4" t="s">
        <v>116</v>
      </c>
    </row>
    <row r="18" spans="1:14">
      <c r="A18" s="4">
        <v>45221</v>
      </c>
      <c r="B18" s="4" t="s">
        <v>9</v>
      </c>
      <c r="C18" s="4" t="s">
        <v>147</v>
      </c>
      <c r="D18" s="4" t="s">
        <v>148</v>
      </c>
      <c r="E18" s="4" t="s">
        <v>135</v>
      </c>
      <c r="F18" s="5" t="str">
        <f>HYPERLINK("https://stat100.ameba.jp/tnk47/ratio20/illustrations/card/ill_45221_shinseiamaterasu01.jpg", "■")</f>
        <v>■</v>
      </c>
      <c r="G18" s="4" t="s">
        <v>128</v>
      </c>
      <c r="H18" s="4" t="s">
        <v>412</v>
      </c>
      <c r="I18" s="4" t="s">
        <v>400</v>
      </c>
      <c r="J18" s="4">
        <v>14</v>
      </c>
      <c r="K18" s="4">
        <v>23044</v>
      </c>
      <c r="L18" s="4">
        <v>20748</v>
      </c>
      <c r="M18" s="4" t="s">
        <v>41</v>
      </c>
      <c r="N18" s="4" t="s">
        <v>117</v>
      </c>
    </row>
    <row r="19" spans="1:14">
      <c r="A19" s="4">
        <v>45311</v>
      </c>
      <c r="B19" s="4" t="s">
        <v>9</v>
      </c>
      <c r="C19" s="4" t="s">
        <v>149</v>
      </c>
      <c r="D19" s="4" t="s">
        <v>150</v>
      </c>
      <c r="E19" s="4" t="s">
        <v>136</v>
      </c>
      <c r="F19" s="5" t="str">
        <f>HYPERLINK("https://stat100.ameba.jp/tnk47/ratio20/illustrations/card/ill_45311_shinseikushikatsuchan01.jpg", "■")</f>
        <v>■</v>
      </c>
      <c r="G19" s="4" t="s">
        <v>31</v>
      </c>
      <c r="H19" s="4" t="s">
        <v>412</v>
      </c>
      <c r="I19" s="4" t="s">
        <v>400</v>
      </c>
      <c r="J19" s="4">
        <v>14</v>
      </c>
      <c r="K19" s="4">
        <v>23044</v>
      </c>
      <c r="L19" s="4">
        <v>20748</v>
      </c>
      <c r="M19" s="4" t="s">
        <v>42</v>
      </c>
      <c r="N19" s="4" t="s">
        <v>118</v>
      </c>
    </row>
    <row r="20" spans="1:14">
      <c r="A20" s="4">
        <v>47291</v>
      </c>
      <c r="B20" s="4" t="s">
        <v>9</v>
      </c>
      <c r="C20" s="4" t="s">
        <v>149</v>
      </c>
      <c r="D20" s="4" t="s">
        <v>141</v>
      </c>
      <c r="E20" s="4" t="s">
        <v>137</v>
      </c>
      <c r="F20" s="5" t="str">
        <f>HYPERLINK("https://stat100.ameba.jp/tnk47/ratio20/illustrations/card/ill_47291_shinseioeyamaonidensetsuminamotonoyorimitsu01.jpg", "■")</f>
        <v>■</v>
      </c>
      <c r="G20" s="4" t="s">
        <v>130</v>
      </c>
      <c r="H20" s="4" t="s">
        <v>412</v>
      </c>
      <c r="I20" s="4" t="s">
        <v>400</v>
      </c>
      <c r="J20" s="4">
        <v>14</v>
      </c>
      <c r="K20" s="4">
        <v>20748</v>
      </c>
      <c r="L20" s="4">
        <v>23044</v>
      </c>
      <c r="M20" s="4" t="s">
        <v>43</v>
      </c>
      <c r="N20" s="4" t="s">
        <v>119</v>
      </c>
    </row>
    <row r="21" spans="1:14">
      <c r="A21" s="4">
        <v>48071</v>
      </c>
      <c r="B21" s="4" t="s">
        <v>9</v>
      </c>
      <c r="C21" s="4" t="s">
        <v>151</v>
      </c>
      <c r="D21" s="4" t="s">
        <v>144</v>
      </c>
      <c r="E21" s="4" t="s">
        <v>138</v>
      </c>
      <c r="F21" s="5" t="str">
        <f>HYPERLINK("https://stat100.ameba.jp/tnk47/ratio20/illustrations/card/ill_48071_shinseiseiyaakarengasokochan01.jpg", "■")</f>
        <v>■</v>
      </c>
      <c r="G21" s="4" t="s">
        <v>131</v>
      </c>
      <c r="H21" s="4" t="s">
        <v>412</v>
      </c>
      <c r="I21" s="4" t="s">
        <v>400</v>
      </c>
      <c r="J21" s="4">
        <v>14</v>
      </c>
      <c r="K21" s="4">
        <v>20748</v>
      </c>
      <c r="L21" s="4">
        <v>23044</v>
      </c>
      <c r="M21" s="4" t="s">
        <v>44</v>
      </c>
      <c r="N21" s="4" t="s">
        <v>120</v>
      </c>
    </row>
    <row r="22" spans="1:14">
      <c r="A22" s="4">
        <v>48511</v>
      </c>
      <c r="B22" s="4" t="s">
        <v>9</v>
      </c>
      <c r="C22" s="4" t="s">
        <v>142</v>
      </c>
      <c r="D22" s="4" t="s">
        <v>143</v>
      </c>
      <c r="E22" s="4" t="s">
        <v>139</v>
      </c>
      <c r="F22" s="5" t="str">
        <f>HYPERLINK("https://stat100.ameba.jp/tnk47/ratio20/illustrations/card/ill_48511_shinseishimaduyoshihiro01.jpg", "■")</f>
        <v>■</v>
      </c>
      <c r="G22" s="4" t="s">
        <v>132</v>
      </c>
      <c r="H22" s="4" t="s">
        <v>412</v>
      </c>
      <c r="I22" s="4" t="s">
        <v>400</v>
      </c>
      <c r="J22" s="4">
        <v>14</v>
      </c>
      <c r="K22" s="4">
        <v>20748</v>
      </c>
      <c r="L22" s="4">
        <v>23044</v>
      </c>
      <c r="M22" s="4" t="s">
        <v>45</v>
      </c>
      <c r="N22" s="4" t="s">
        <v>121</v>
      </c>
    </row>
    <row r="23" spans="1:14">
      <c r="A23" s="4">
        <v>49541</v>
      </c>
      <c r="B23" s="4" t="s">
        <v>9</v>
      </c>
      <c r="C23" s="4" t="s">
        <v>149</v>
      </c>
      <c r="D23" s="4" t="s">
        <v>152</v>
      </c>
      <c r="E23" s="4" t="s">
        <v>140</v>
      </c>
      <c r="F23" s="5" t="str">
        <f>HYPERLINK("https://stat100.ameba.jp/tnk47/ratio20/illustrations/card/ill_49541_shinseishichiseikenshoutokutaishi01.jpg", "■")</f>
        <v>■</v>
      </c>
      <c r="G23" s="4" t="s">
        <v>133</v>
      </c>
      <c r="H23" s="4" t="s">
        <v>412</v>
      </c>
      <c r="I23" s="4" t="s">
        <v>977</v>
      </c>
      <c r="J23" s="4">
        <v>14</v>
      </c>
      <c r="K23" s="4">
        <v>23044</v>
      </c>
      <c r="L23" s="4">
        <v>20748</v>
      </c>
      <c r="M23" s="4" t="s">
        <v>46</v>
      </c>
      <c r="N23" s="4" t="s">
        <v>122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08268-4447-4176-921F-0402B62A2DE2}">
  <dimension ref="A1:O23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4140625" style="4" customWidth="1"/>
    <col min="2" max="2" width="3.9140625" style="4" customWidth="1"/>
    <col min="3" max="3" width="12.25" style="4" customWidth="1"/>
    <col min="4" max="4" width="5.4140625" style="4" customWidth="1"/>
    <col min="5" max="5" width="31" style="4" customWidth="1"/>
    <col min="6" max="6" width="3.9140625" style="4" customWidth="1"/>
    <col min="7" max="7" width="30.9140625" style="4" hidden="1" customWidth="1"/>
    <col min="8" max="8" width="12.9140625" style="4" hidden="1" customWidth="1"/>
    <col min="9" max="9" width="17.33203125" style="4" hidden="1" customWidth="1"/>
    <col min="10" max="10" width="3.75" style="4" customWidth="1"/>
    <col min="11" max="12" width="7.08203125" style="4" customWidth="1"/>
    <col min="13" max="13" width="30.9140625" style="4" hidden="1" customWidth="1"/>
    <col min="14" max="14" width="71" style="4" customWidth="1"/>
    <col min="15" max="15" width="25.9140625" style="4" customWidth="1"/>
    <col min="16" max="17" width="8.9140625" style="4" customWidth="1"/>
    <col min="18" max="16384" width="8.9140625" style="4"/>
  </cols>
  <sheetData>
    <row r="1" spans="1:15" s="1" customFormat="1">
      <c r="A1" s="2" t="s">
        <v>92</v>
      </c>
      <c r="B1" s="2" t="s">
        <v>26</v>
      </c>
      <c r="C1" s="2" t="s">
        <v>19</v>
      </c>
      <c r="D1" s="2" t="s">
        <v>20</v>
      </c>
      <c r="E1" s="2" t="s">
        <v>21</v>
      </c>
      <c r="F1" s="2" t="s">
        <v>93</v>
      </c>
      <c r="G1" s="2" t="s">
        <v>94</v>
      </c>
      <c r="H1" s="3" t="s">
        <v>30</v>
      </c>
      <c r="I1" s="3" t="s">
        <v>22</v>
      </c>
      <c r="J1" s="3" t="s">
        <v>78</v>
      </c>
      <c r="K1" s="3" t="s">
        <v>23</v>
      </c>
      <c r="L1" s="3" t="s">
        <v>24</v>
      </c>
      <c r="M1" s="3" t="s">
        <v>25</v>
      </c>
      <c r="N1" s="3" t="s">
        <v>480</v>
      </c>
      <c r="O1" s="3" t="s">
        <v>936</v>
      </c>
    </row>
    <row r="2" spans="1:15">
      <c r="E2" s="5"/>
      <c r="F2" s="5"/>
    </row>
    <row r="3" spans="1:15">
      <c r="A3" s="4">
        <v>63293</v>
      </c>
      <c r="B3" s="4" t="s">
        <v>95</v>
      </c>
      <c r="C3" s="4" t="s">
        <v>317</v>
      </c>
      <c r="D3" s="4" t="s">
        <v>143</v>
      </c>
      <c r="E3" s="4" t="s">
        <v>460</v>
      </c>
      <c r="F3" s="5" t="str">
        <f>HYPERLINK("https://stat100.ameba.jp/tnk47/ratio20/illustrations/card/ill_63293_miyoshimanabu03.jpg", "■")</f>
        <v>■</v>
      </c>
      <c r="G3" s="4" t="s">
        <v>865</v>
      </c>
      <c r="J3" s="4">
        <v>10</v>
      </c>
      <c r="K3" s="4">
        <v>40549</v>
      </c>
      <c r="L3" s="4">
        <v>37718</v>
      </c>
      <c r="M3" s="4" t="s">
        <v>461</v>
      </c>
      <c r="N3" s="4" t="s">
        <v>462</v>
      </c>
    </row>
    <row r="4" spans="1:15">
      <c r="A4" s="4">
        <v>64583</v>
      </c>
      <c r="B4" s="4" t="s">
        <v>9</v>
      </c>
      <c r="C4" s="4" t="s">
        <v>654</v>
      </c>
      <c r="D4" s="4" t="s">
        <v>667</v>
      </c>
      <c r="E4" s="4" t="s">
        <v>681</v>
      </c>
      <c r="F4" s="5" t="str">
        <f>HYPERLINK("https://stat100.ameba.jp/tnk47/ratio20/illustrations/card/ill_64583_nambutsuruhime03.jpg", "■")</f>
        <v>■</v>
      </c>
      <c r="G4" s="4" t="s">
        <v>866</v>
      </c>
      <c r="J4" s="4">
        <v>13</v>
      </c>
      <c r="K4" s="4">
        <v>30283</v>
      </c>
      <c r="L4" s="4">
        <v>33384</v>
      </c>
      <c r="M4" s="4" t="s">
        <v>682</v>
      </c>
      <c r="N4" s="4" t="s">
        <v>808</v>
      </c>
    </row>
    <row r="5" spans="1:15">
      <c r="A5" s="4">
        <v>63313</v>
      </c>
      <c r="B5" s="4" t="s">
        <v>9</v>
      </c>
      <c r="C5" s="4" t="s">
        <v>149</v>
      </c>
      <c r="D5" s="4" t="s">
        <v>143</v>
      </c>
      <c r="E5" s="4" t="s">
        <v>441</v>
      </c>
      <c r="F5" s="5" t="str">
        <f>HYPERLINK("https://stat100.ameba.jp/tnk47/ratio20/illustrations/card/ill_63313_hashimotochutaro03.jpg", "■")</f>
        <v>■</v>
      </c>
      <c r="G5" s="4" t="s">
        <v>867</v>
      </c>
      <c r="J5" s="4">
        <v>6</v>
      </c>
      <c r="K5" s="4">
        <v>16130</v>
      </c>
      <c r="L5" s="4">
        <v>17784</v>
      </c>
      <c r="M5" s="4" t="s">
        <v>442</v>
      </c>
      <c r="N5" s="4" t="s">
        <v>443</v>
      </c>
    </row>
    <row r="6" spans="1:15">
      <c r="A6" s="4">
        <v>63303</v>
      </c>
      <c r="B6" s="4" t="s">
        <v>9</v>
      </c>
      <c r="C6" s="4" t="s">
        <v>654</v>
      </c>
      <c r="D6" s="4" t="s">
        <v>684</v>
      </c>
      <c r="E6" s="4" t="s">
        <v>683</v>
      </c>
      <c r="F6" s="5" t="str">
        <f>HYPERLINK("https://stat100.ameba.jp/tnk47/ratio20/illustrations/card/ill_63303_koribakan03.jpg", "■")</f>
        <v>■</v>
      </c>
      <c r="G6" s="4" t="s">
        <v>868</v>
      </c>
      <c r="J6" s="4">
        <v>10</v>
      </c>
      <c r="K6" s="4">
        <v>29640</v>
      </c>
      <c r="L6" s="4">
        <v>26884</v>
      </c>
      <c r="M6" s="4" t="s">
        <v>685</v>
      </c>
      <c r="N6" s="4" t="s">
        <v>809</v>
      </c>
    </row>
    <row r="7" spans="1:15">
      <c r="A7" s="4">
        <v>64563</v>
      </c>
      <c r="B7" s="4" t="s">
        <v>10</v>
      </c>
      <c r="C7" s="4" t="s">
        <v>658</v>
      </c>
      <c r="D7" s="4" t="s">
        <v>684</v>
      </c>
      <c r="E7" s="4" t="s">
        <v>688</v>
      </c>
      <c r="F7" s="5" t="str">
        <f>HYPERLINK("https://stat100.ameba.jp/tnk47/ratio20/illustrations/card/ill_64563_yajimakajiko03.jpg", "■")</f>
        <v>■</v>
      </c>
      <c r="G7" s="4" t="s">
        <v>869</v>
      </c>
      <c r="J7" s="4">
        <v>9</v>
      </c>
      <c r="K7" s="4">
        <v>15559</v>
      </c>
      <c r="L7" s="4">
        <v>18712</v>
      </c>
      <c r="M7" s="4" t="s">
        <v>689</v>
      </c>
      <c r="N7" s="4" t="s">
        <v>810</v>
      </c>
    </row>
    <row r="8" spans="1:15">
      <c r="A8" s="4">
        <v>64553</v>
      </c>
      <c r="B8" s="4" t="s">
        <v>10</v>
      </c>
      <c r="C8" s="4" t="s">
        <v>650</v>
      </c>
      <c r="D8" s="4" t="s">
        <v>684</v>
      </c>
      <c r="E8" s="4" t="s">
        <v>686</v>
      </c>
      <c r="F8" s="5" t="str">
        <f>HYPERLINK("https://stat100.ameba.jp/tnk47/ratio20/illustrations/card/ill_64553_bannobutomo03.jpg", "■")</f>
        <v>■</v>
      </c>
      <c r="G8" s="4" t="s">
        <v>870</v>
      </c>
      <c r="J8" s="4">
        <v>8</v>
      </c>
      <c r="K8" s="4">
        <v>13830</v>
      </c>
      <c r="L8" s="4">
        <v>16633</v>
      </c>
      <c r="M8" s="4" t="s">
        <v>687</v>
      </c>
      <c r="N8" s="4" t="s">
        <v>811</v>
      </c>
    </row>
    <row r="9" spans="1:15">
      <c r="A9" s="4">
        <v>64603</v>
      </c>
      <c r="B9" s="4" t="s">
        <v>11</v>
      </c>
      <c r="C9" s="4" t="s">
        <v>691</v>
      </c>
      <c r="D9" s="4" t="s">
        <v>692</v>
      </c>
      <c r="E9" s="4" t="s">
        <v>690</v>
      </c>
      <c r="F9" s="5" t="str">
        <f>HYPERLINK("https://stat100.ameba.jp/tnk47/ratio20/illustrations/card/ill_64603_kagiyadekaze03.jpg", "■")</f>
        <v>■</v>
      </c>
      <c r="G9" s="4" t="s">
        <v>871</v>
      </c>
      <c r="J9" s="4">
        <v>9</v>
      </c>
      <c r="K9" s="4">
        <v>9514</v>
      </c>
      <c r="L9" s="4">
        <v>11329</v>
      </c>
      <c r="M9" s="4" t="s">
        <v>693</v>
      </c>
      <c r="N9" s="4" t="s">
        <v>694</v>
      </c>
    </row>
    <row r="10" spans="1:15">
      <c r="A10" s="4">
        <v>64613</v>
      </c>
      <c r="B10" s="4" t="s">
        <v>11</v>
      </c>
      <c r="C10" s="4" t="s">
        <v>696</v>
      </c>
      <c r="D10" s="4" t="s">
        <v>697</v>
      </c>
      <c r="E10" s="4" t="s">
        <v>695</v>
      </c>
      <c r="F10" s="5" t="str">
        <f>HYPERLINK("https://stat100.ameba.jp/tnk47/ratio20/illustrations/card/ill_64613_ryoranonikuma03.jpg", "■")</f>
        <v>■</v>
      </c>
      <c r="G10" s="4" t="s">
        <v>872</v>
      </c>
      <c r="J10" s="4">
        <v>9</v>
      </c>
      <c r="K10" s="4" t="s">
        <v>960</v>
      </c>
      <c r="L10" s="4" t="s">
        <v>961</v>
      </c>
      <c r="M10" s="4" t="s">
        <v>698</v>
      </c>
      <c r="N10" s="4" t="s">
        <v>699</v>
      </c>
      <c r="O10" s="4" t="s">
        <v>944</v>
      </c>
    </row>
    <row r="11" spans="1:15">
      <c r="A11" s="4">
        <v>64573</v>
      </c>
      <c r="B11" s="4" t="s">
        <v>11</v>
      </c>
      <c r="C11" s="4" t="s">
        <v>701</v>
      </c>
      <c r="D11" s="4" t="s">
        <v>684</v>
      </c>
      <c r="E11" s="4" t="s">
        <v>700</v>
      </c>
      <c r="F11" s="5" t="str">
        <f>HYPERLINK("https://stat100.ameba.jp/tnk47/ratio20/illustrations/card/ill_64573_sakurautakinoshitakatsutoshi03.jpg", "■")</f>
        <v>■</v>
      </c>
      <c r="G11" s="4" t="s">
        <v>873</v>
      </c>
      <c r="J11" s="4">
        <v>6</v>
      </c>
      <c r="K11" s="4">
        <v>7552</v>
      </c>
      <c r="L11" s="4">
        <v>6343</v>
      </c>
      <c r="M11" s="4" t="s">
        <v>702</v>
      </c>
      <c r="N11" s="4" t="s">
        <v>703</v>
      </c>
    </row>
    <row r="13" spans="1:15">
      <c r="A13" s="4" t="s">
        <v>153</v>
      </c>
    </row>
    <row r="14" spans="1:15">
      <c r="A14" s="4">
        <v>52533</v>
      </c>
      <c r="B14" s="4" t="s">
        <v>9</v>
      </c>
      <c r="C14" s="4" t="s">
        <v>145</v>
      </c>
      <c r="D14" s="4" t="s">
        <v>189</v>
      </c>
      <c r="E14" s="4" t="s">
        <v>413</v>
      </c>
      <c r="F14" s="5" t="str">
        <f>HYPERLINK("https://stat100.ameba.jp/tnk47/ratio20/illustrations/card/ill_52533_shinseiyagyosan03.jpg", "■")</f>
        <v>■</v>
      </c>
      <c r="G14" s="4" t="s">
        <v>829</v>
      </c>
      <c r="H14" s="4" t="s">
        <v>420</v>
      </c>
      <c r="I14" s="4" t="s">
        <v>419</v>
      </c>
      <c r="J14" s="4">
        <v>14</v>
      </c>
      <c r="K14" s="4">
        <v>20748</v>
      </c>
      <c r="L14" s="4">
        <v>23044</v>
      </c>
      <c r="M14" s="4" t="s">
        <v>830</v>
      </c>
      <c r="N14" s="4" t="s">
        <v>1</v>
      </c>
      <c r="O14" t="s">
        <v>933</v>
      </c>
    </row>
    <row r="15" spans="1:15">
      <c r="A15" s="4">
        <v>53823</v>
      </c>
      <c r="B15" s="4" t="s">
        <v>9</v>
      </c>
      <c r="C15" s="4" t="s">
        <v>149</v>
      </c>
      <c r="D15" s="4" t="s">
        <v>186</v>
      </c>
      <c r="E15" s="4" t="s">
        <v>414</v>
      </c>
      <c r="F15" s="5" t="str">
        <f>HYPERLINK("https://stat100.ameba.jp/tnk47/ratio20/illustrations/card/ill_53823_shinseininkenhatsumenotsubone03.jpg", "■")</f>
        <v>■</v>
      </c>
      <c r="G15" s="4" t="s">
        <v>831</v>
      </c>
      <c r="H15" s="4" t="s">
        <v>412</v>
      </c>
      <c r="I15" s="4" t="s">
        <v>977</v>
      </c>
      <c r="J15" s="4">
        <v>14</v>
      </c>
      <c r="K15" s="4">
        <v>23044</v>
      </c>
      <c r="L15" s="4">
        <v>20748</v>
      </c>
      <c r="M15" s="4" t="s">
        <v>832</v>
      </c>
      <c r="N15" s="4" t="s">
        <v>2</v>
      </c>
      <c r="O15" t="s">
        <v>933</v>
      </c>
    </row>
    <row r="16" spans="1:15">
      <c r="A16" s="4">
        <v>64153</v>
      </c>
      <c r="B16" s="4" t="s">
        <v>9</v>
      </c>
      <c r="C16" s="4" t="s">
        <v>151</v>
      </c>
      <c r="D16" s="4" t="s">
        <v>148</v>
      </c>
      <c r="E16" s="4" t="s">
        <v>415</v>
      </c>
      <c r="F16" s="5" t="str">
        <f>HYPERLINK("https://stat100.ameba.jp/tnk47/ratio20/illustrations/card/ill_64153_tsurumarukuninaga03.jpg", "■")</f>
        <v>■</v>
      </c>
      <c r="G16" s="4" t="s">
        <v>833</v>
      </c>
      <c r="H16" s="4" t="s">
        <v>412</v>
      </c>
      <c r="I16" s="4" t="s">
        <v>977</v>
      </c>
      <c r="J16" s="4">
        <v>14</v>
      </c>
      <c r="K16" s="4">
        <v>23044</v>
      </c>
      <c r="L16" s="4">
        <v>20748</v>
      </c>
      <c r="M16" s="4" t="s">
        <v>834</v>
      </c>
      <c r="N16" s="4" t="s">
        <v>3</v>
      </c>
      <c r="O16" t="s">
        <v>933</v>
      </c>
    </row>
    <row r="17" spans="1:14">
      <c r="A17" s="4">
        <v>44311</v>
      </c>
      <c r="B17" s="4" t="s">
        <v>9</v>
      </c>
      <c r="C17" s="4" t="s">
        <v>145</v>
      </c>
      <c r="D17" s="4" t="s">
        <v>146</v>
      </c>
      <c r="E17" s="4" t="s">
        <v>134</v>
      </c>
      <c r="F17" s="5" t="str">
        <f>HYPERLINK("https://stat100.ameba.jp/tnk47/ratio20/illustrations/card/ill_44311_shinseitoshusaisharaku01.jpg", "■")</f>
        <v>■</v>
      </c>
      <c r="G17" s="4" t="s">
        <v>127</v>
      </c>
      <c r="H17" s="4" t="s">
        <v>421</v>
      </c>
      <c r="I17" s="4" t="s">
        <v>977</v>
      </c>
      <c r="J17" s="4">
        <v>14</v>
      </c>
      <c r="K17" s="4">
        <v>23044</v>
      </c>
      <c r="L17" s="4">
        <v>20748</v>
      </c>
      <c r="M17" s="4" t="s">
        <v>40</v>
      </c>
      <c r="N17" s="4" t="s">
        <v>116</v>
      </c>
    </row>
    <row r="18" spans="1:14">
      <c r="A18" s="4">
        <v>45221</v>
      </c>
      <c r="B18" s="4" t="s">
        <v>9</v>
      </c>
      <c r="C18" s="4" t="s">
        <v>147</v>
      </c>
      <c r="D18" s="4" t="s">
        <v>148</v>
      </c>
      <c r="E18" s="4" t="s">
        <v>135</v>
      </c>
      <c r="F18" s="5" t="str">
        <f>HYPERLINK("https://stat100.ameba.jp/tnk47/ratio20/illustrations/card/ill_45221_shinseiamaterasu01.jpg", "■")</f>
        <v>■</v>
      </c>
      <c r="G18" s="4" t="s">
        <v>128</v>
      </c>
      <c r="H18" s="4" t="s">
        <v>412</v>
      </c>
      <c r="I18" s="4" t="s">
        <v>400</v>
      </c>
      <c r="J18" s="4">
        <v>14</v>
      </c>
      <c r="K18" s="4">
        <v>23044</v>
      </c>
      <c r="L18" s="4">
        <v>20748</v>
      </c>
      <c r="M18" s="4" t="s">
        <v>41</v>
      </c>
      <c r="N18" s="4" t="s">
        <v>117</v>
      </c>
    </row>
    <row r="19" spans="1:14">
      <c r="A19" s="4">
        <v>45311</v>
      </c>
      <c r="B19" s="4" t="s">
        <v>9</v>
      </c>
      <c r="C19" s="4" t="s">
        <v>149</v>
      </c>
      <c r="D19" s="4" t="s">
        <v>150</v>
      </c>
      <c r="E19" s="4" t="s">
        <v>136</v>
      </c>
      <c r="F19" s="5" t="str">
        <f>HYPERLINK("https://stat100.ameba.jp/tnk47/ratio20/illustrations/card/ill_45311_shinseikushikatsuchan01.jpg", "■")</f>
        <v>■</v>
      </c>
      <c r="G19" s="4" t="s">
        <v>31</v>
      </c>
      <c r="H19" s="4" t="s">
        <v>412</v>
      </c>
      <c r="I19" s="4" t="s">
        <v>400</v>
      </c>
      <c r="J19" s="4">
        <v>14</v>
      </c>
      <c r="K19" s="4">
        <v>23044</v>
      </c>
      <c r="L19" s="4">
        <v>20748</v>
      </c>
      <c r="M19" s="4" t="s">
        <v>42</v>
      </c>
      <c r="N19" s="4" t="s">
        <v>118</v>
      </c>
    </row>
    <row r="20" spans="1:14">
      <c r="A20" s="4">
        <v>47291</v>
      </c>
      <c r="B20" s="4" t="s">
        <v>9</v>
      </c>
      <c r="C20" s="4" t="s">
        <v>149</v>
      </c>
      <c r="D20" s="4" t="s">
        <v>141</v>
      </c>
      <c r="E20" s="4" t="s">
        <v>137</v>
      </c>
      <c r="F20" s="5" t="str">
        <f>HYPERLINK("https://stat100.ameba.jp/tnk47/ratio20/illustrations/card/ill_47291_shinseioeyamaonidensetsuminamotonoyorimitsu01.jpg", "■")</f>
        <v>■</v>
      </c>
      <c r="G20" s="4" t="s">
        <v>130</v>
      </c>
      <c r="H20" s="4" t="s">
        <v>412</v>
      </c>
      <c r="I20" s="4" t="s">
        <v>400</v>
      </c>
      <c r="J20" s="4">
        <v>14</v>
      </c>
      <c r="K20" s="4">
        <v>20748</v>
      </c>
      <c r="L20" s="4">
        <v>23044</v>
      </c>
      <c r="M20" s="4" t="s">
        <v>43</v>
      </c>
      <c r="N20" s="4" t="s">
        <v>119</v>
      </c>
    </row>
    <row r="21" spans="1:14">
      <c r="A21" s="4">
        <v>48071</v>
      </c>
      <c r="B21" s="4" t="s">
        <v>9</v>
      </c>
      <c r="C21" s="4" t="s">
        <v>151</v>
      </c>
      <c r="D21" s="4" t="s">
        <v>144</v>
      </c>
      <c r="E21" s="4" t="s">
        <v>138</v>
      </c>
      <c r="F21" s="5" t="str">
        <f>HYPERLINK("https://stat100.ameba.jp/tnk47/ratio20/illustrations/card/ill_48071_shinseiseiyaakarengasokochan01.jpg", "■")</f>
        <v>■</v>
      </c>
      <c r="G21" s="4" t="s">
        <v>131</v>
      </c>
      <c r="H21" s="4" t="s">
        <v>412</v>
      </c>
      <c r="I21" s="4" t="s">
        <v>400</v>
      </c>
      <c r="J21" s="4">
        <v>14</v>
      </c>
      <c r="K21" s="4">
        <v>20748</v>
      </c>
      <c r="L21" s="4">
        <v>23044</v>
      </c>
      <c r="M21" s="4" t="s">
        <v>44</v>
      </c>
      <c r="N21" s="4" t="s">
        <v>120</v>
      </c>
    </row>
    <row r="22" spans="1:14">
      <c r="A22" s="4">
        <v>48511</v>
      </c>
      <c r="B22" s="4" t="s">
        <v>9</v>
      </c>
      <c r="C22" s="4" t="s">
        <v>142</v>
      </c>
      <c r="D22" s="4" t="s">
        <v>143</v>
      </c>
      <c r="E22" s="4" t="s">
        <v>139</v>
      </c>
      <c r="F22" s="5" t="str">
        <f>HYPERLINK("https://stat100.ameba.jp/tnk47/ratio20/illustrations/card/ill_48511_shinseishimaduyoshihiro01.jpg", "■")</f>
        <v>■</v>
      </c>
      <c r="G22" s="4" t="s">
        <v>132</v>
      </c>
      <c r="H22" s="4" t="s">
        <v>412</v>
      </c>
      <c r="I22" s="4" t="s">
        <v>400</v>
      </c>
      <c r="J22" s="4">
        <v>14</v>
      </c>
      <c r="K22" s="4">
        <v>20748</v>
      </c>
      <c r="L22" s="4">
        <v>23044</v>
      </c>
      <c r="M22" s="4" t="s">
        <v>45</v>
      </c>
      <c r="N22" s="4" t="s">
        <v>121</v>
      </c>
    </row>
    <row r="23" spans="1:14">
      <c r="A23" s="4">
        <v>49541</v>
      </c>
      <c r="B23" s="4" t="s">
        <v>9</v>
      </c>
      <c r="C23" s="4" t="s">
        <v>149</v>
      </c>
      <c r="D23" s="4" t="s">
        <v>152</v>
      </c>
      <c r="E23" s="4" t="s">
        <v>140</v>
      </c>
      <c r="F23" s="5" t="str">
        <f>HYPERLINK("https://stat100.ameba.jp/tnk47/ratio20/illustrations/card/ill_49541_shinseishichiseikenshoutokutaishi01.jpg", "■")</f>
        <v>■</v>
      </c>
      <c r="G23" s="4" t="s">
        <v>133</v>
      </c>
      <c r="H23" s="4" t="s">
        <v>412</v>
      </c>
      <c r="I23" s="4" t="s">
        <v>977</v>
      </c>
      <c r="J23" s="4">
        <v>14</v>
      </c>
      <c r="K23" s="4">
        <v>23044</v>
      </c>
      <c r="L23" s="4">
        <v>20748</v>
      </c>
      <c r="M23" s="4" t="s">
        <v>46</v>
      </c>
      <c r="N23" s="4" t="s">
        <v>122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6D610-F921-4A99-823C-DCF40FEE2DB6}">
  <dimension ref="A1:O23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4140625" style="4" customWidth="1"/>
    <col min="2" max="2" width="3.9140625" style="4" customWidth="1"/>
    <col min="3" max="3" width="12.25" style="4" customWidth="1"/>
    <col min="4" max="4" width="5.4140625" style="4" customWidth="1"/>
    <col min="5" max="5" width="31" style="4" customWidth="1"/>
    <col min="6" max="6" width="3.9140625" style="4" customWidth="1"/>
    <col min="7" max="7" width="30.9140625" style="4" hidden="1" customWidth="1"/>
    <col min="8" max="8" width="12.9140625" style="4" hidden="1" customWidth="1"/>
    <col min="9" max="9" width="17.33203125" style="4" hidden="1" customWidth="1"/>
    <col min="10" max="10" width="3.75" style="4" customWidth="1"/>
    <col min="11" max="12" width="7.08203125" style="4" customWidth="1"/>
    <col min="13" max="13" width="30.9140625" style="4" hidden="1" customWidth="1"/>
    <col min="14" max="14" width="71" style="4" customWidth="1"/>
    <col min="15" max="15" width="25.9140625" style="4" customWidth="1"/>
    <col min="16" max="16384" width="8.9140625" style="4"/>
  </cols>
  <sheetData>
    <row r="1" spans="1:15" s="1" customFormat="1">
      <c r="A1" s="2" t="s">
        <v>92</v>
      </c>
      <c r="B1" s="2" t="s">
        <v>26</v>
      </c>
      <c r="C1" s="2" t="s">
        <v>19</v>
      </c>
      <c r="D1" s="2" t="s">
        <v>20</v>
      </c>
      <c r="E1" s="2" t="s">
        <v>21</v>
      </c>
      <c r="F1" s="2" t="s">
        <v>93</v>
      </c>
      <c r="G1" s="2" t="s">
        <v>94</v>
      </c>
      <c r="H1" s="3" t="s">
        <v>30</v>
      </c>
      <c r="I1" s="3" t="s">
        <v>22</v>
      </c>
      <c r="J1" s="3" t="s">
        <v>78</v>
      </c>
      <c r="K1" s="3" t="s">
        <v>23</v>
      </c>
      <c r="L1" s="3" t="s">
        <v>24</v>
      </c>
      <c r="M1" s="3" t="s">
        <v>25</v>
      </c>
      <c r="N1" s="3" t="s">
        <v>480</v>
      </c>
      <c r="O1" s="3" t="s">
        <v>936</v>
      </c>
    </row>
    <row r="2" spans="1:15">
      <c r="E2" s="5"/>
      <c r="F2" s="5"/>
    </row>
    <row r="3" spans="1:15">
      <c r="A3" s="4">
        <v>64093</v>
      </c>
      <c r="B3" s="4" t="s">
        <v>95</v>
      </c>
      <c r="C3" s="4" t="s">
        <v>179</v>
      </c>
      <c r="D3" s="4" t="s">
        <v>141</v>
      </c>
      <c r="E3" s="4" t="s">
        <v>463</v>
      </c>
      <c r="F3" s="5" t="str">
        <f>HYPERLINK("https://stat100.ameba.jp/tnk47/ratio20/illustrations/card/ill_64093_sankotosennoken0.jpg", "■")</f>
        <v>■</v>
      </c>
      <c r="G3" s="4" t="s">
        <v>874</v>
      </c>
      <c r="J3" s="4">
        <v>10</v>
      </c>
      <c r="K3" s="4">
        <v>42356</v>
      </c>
      <c r="L3" s="4">
        <v>45637</v>
      </c>
      <c r="M3" s="4" t="s">
        <v>464</v>
      </c>
      <c r="N3" s="4" t="s">
        <v>465</v>
      </c>
    </row>
    <row r="4" spans="1:15">
      <c r="A4" s="4">
        <v>64153</v>
      </c>
      <c r="B4" s="4" t="s">
        <v>9</v>
      </c>
      <c r="C4" s="4" t="s">
        <v>645</v>
      </c>
      <c r="D4" s="4" t="s">
        <v>707</v>
      </c>
      <c r="E4" s="4" t="s">
        <v>706</v>
      </c>
      <c r="F4" s="5" t="str">
        <f>HYPERLINK("https://stat100.ameba.jp/tnk47/ratio20/illustrations/card/ill_64153_tsurumarukuninaga03.jpg", "■")</f>
        <v>■</v>
      </c>
      <c r="G4" s="4" t="s">
        <v>875</v>
      </c>
      <c r="J4" s="4">
        <v>13</v>
      </c>
      <c r="K4" s="4">
        <v>33384</v>
      </c>
      <c r="L4" s="4">
        <v>30283</v>
      </c>
      <c r="M4" s="4" t="s">
        <v>705</v>
      </c>
      <c r="N4" s="4" t="s">
        <v>704</v>
      </c>
    </row>
    <row r="5" spans="1:15">
      <c r="A5" s="4">
        <v>64103</v>
      </c>
      <c r="B5" s="4" t="s">
        <v>9</v>
      </c>
      <c r="C5" s="4" t="s">
        <v>252</v>
      </c>
      <c r="D5" s="4" t="s">
        <v>141</v>
      </c>
      <c r="E5" s="4" t="s">
        <v>438</v>
      </c>
      <c r="F5" s="5" t="str">
        <f>HYPERLINK("https://stat100.ameba.jp/tnk47/ratio20/illustrations/card/ill_64103_suihahyoha03.jpg", "■")</f>
        <v>■</v>
      </c>
      <c r="G5" s="4" t="s">
        <v>876</v>
      </c>
      <c r="J5" s="4">
        <v>6</v>
      </c>
      <c r="K5" s="4">
        <v>17784</v>
      </c>
      <c r="L5" s="4">
        <v>16130</v>
      </c>
      <c r="M5" s="4" t="s">
        <v>439</v>
      </c>
      <c r="N5" s="4" t="s">
        <v>440</v>
      </c>
    </row>
    <row r="6" spans="1:15">
      <c r="A6" s="4">
        <v>64113</v>
      </c>
      <c r="B6" s="4" t="s">
        <v>9</v>
      </c>
      <c r="C6" s="4" t="s">
        <v>709</v>
      </c>
      <c r="D6" s="4" t="s">
        <v>646</v>
      </c>
      <c r="E6" s="4" t="s">
        <v>708</v>
      </c>
      <c r="F6" s="5" t="str">
        <f>HYPERLINK("https://stat100.ameba.jp/tnk47/ratio20/illustrations/card/ill_64113_onikiriyasutsuna03.jpg", "■")</f>
        <v>■</v>
      </c>
      <c r="G6" s="4" t="s">
        <v>877</v>
      </c>
      <c r="J6" s="4">
        <v>10</v>
      </c>
      <c r="K6" s="4">
        <v>26884</v>
      </c>
      <c r="L6" s="4">
        <v>29640</v>
      </c>
      <c r="M6" s="4" t="s">
        <v>710</v>
      </c>
      <c r="N6" s="4" t="s">
        <v>711</v>
      </c>
    </row>
    <row r="7" spans="1:15">
      <c r="A7" s="4">
        <v>64123</v>
      </c>
      <c r="B7" s="4" t="s">
        <v>10</v>
      </c>
      <c r="C7" s="4" t="s">
        <v>645</v>
      </c>
      <c r="D7" s="4" t="s">
        <v>646</v>
      </c>
      <c r="E7" s="4" t="s">
        <v>716</v>
      </c>
      <c r="F7" s="5" t="str">
        <f>HYPERLINK("https://stat100.ameba.jp/tnk47/ratio20/illustrations/card/ill_64123_ushigozen03.jpg", "■")</f>
        <v>■</v>
      </c>
      <c r="G7" s="4" t="s">
        <v>878</v>
      </c>
      <c r="J7" s="4">
        <v>9</v>
      </c>
      <c r="K7" s="4">
        <v>18712</v>
      </c>
      <c r="L7" s="4">
        <v>15559</v>
      </c>
      <c r="M7" s="4" t="s">
        <v>717</v>
      </c>
      <c r="N7" s="4" t="s">
        <v>718</v>
      </c>
    </row>
    <row r="8" spans="1:15">
      <c r="A8" s="4">
        <v>64133</v>
      </c>
      <c r="B8" s="4" t="s">
        <v>10</v>
      </c>
      <c r="C8" s="4" t="s">
        <v>713</v>
      </c>
      <c r="D8" s="4" t="s">
        <v>646</v>
      </c>
      <c r="E8" s="4" t="s">
        <v>712</v>
      </c>
      <c r="F8" s="5" t="str">
        <f>HYPERLINK("https://stat100.ameba.jp/tnk47/ratio20/illustrations/card/ill_64133_kanfusanmongosannokiri03.jpg", "■")</f>
        <v>■</v>
      </c>
      <c r="G8" s="4" t="s">
        <v>879</v>
      </c>
      <c r="J8" s="4">
        <v>8</v>
      </c>
      <c r="K8" s="4">
        <v>13830</v>
      </c>
      <c r="L8" s="4">
        <v>16633</v>
      </c>
      <c r="M8" s="4" t="s">
        <v>714</v>
      </c>
      <c r="N8" s="4" t="s">
        <v>715</v>
      </c>
    </row>
    <row r="9" spans="1:15">
      <c r="A9" s="4">
        <v>64173</v>
      </c>
      <c r="B9" s="4" t="s">
        <v>11</v>
      </c>
      <c r="C9" s="4" t="s">
        <v>720</v>
      </c>
      <c r="D9" s="4" t="s">
        <v>692</v>
      </c>
      <c r="E9" s="4" t="s">
        <v>719</v>
      </c>
      <c r="F9" s="5" t="str">
        <f>HYPERLINK("https://stat100.ameba.jp/tnk47/ratio20/illustrations/card/ill_64173_aomenochan03.jpg", "■")</f>
        <v>■</v>
      </c>
      <c r="G9" s="4" t="s">
        <v>880</v>
      </c>
      <c r="J9" s="4">
        <v>9</v>
      </c>
      <c r="K9" s="4">
        <v>11329</v>
      </c>
      <c r="L9" s="4">
        <v>9514</v>
      </c>
      <c r="M9" s="4" t="s">
        <v>725</v>
      </c>
      <c r="N9" s="4" t="s">
        <v>726</v>
      </c>
    </row>
    <row r="10" spans="1:15">
      <c r="A10" s="4">
        <v>64183</v>
      </c>
      <c r="B10" s="4" t="s">
        <v>11</v>
      </c>
      <c r="C10" s="4" t="s">
        <v>721</v>
      </c>
      <c r="D10" s="4" t="s">
        <v>707</v>
      </c>
      <c r="E10" s="4" t="s">
        <v>723</v>
      </c>
      <c r="F10" s="5" t="str">
        <f>HYPERLINK("https://stat100.ameba.jp/tnk47/ratio20/illustrations/card/ill_64183_nenekirimaru03.jpg", "■")</f>
        <v>■</v>
      </c>
      <c r="G10" s="4" t="s">
        <v>881</v>
      </c>
      <c r="J10" s="4">
        <v>9</v>
      </c>
      <c r="K10" s="4">
        <v>9514</v>
      </c>
      <c r="L10" s="4">
        <v>11329</v>
      </c>
      <c r="M10" s="4" t="s">
        <v>727</v>
      </c>
      <c r="N10" s="4" t="s">
        <v>728</v>
      </c>
    </row>
    <row r="11" spans="1:15">
      <c r="A11" s="4">
        <v>64143</v>
      </c>
      <c r="B11" s="4" t="s">
        <v>11</v>
      </c>
      <c r="C11" s="4" t="s">
        <v>722</v>
      </c>
      <c r="D11" s="4" t="s">
        <v>646</v>
      </c>
      <c r="E11" s="4" t="s">
        <v>724</v>
      </c>
      <c r="F11" s="5" t="str">
        <f>HYPERLINK("https://stat100.ameba.jp/tnk47/ratio20/illustrations/card/ill_64143_tonkori03.jpg", "■")</f>
        <v>■</v>
      </c>
      <c r="G11" s="4" t="s">
        <v>882</v>
      </c>
      <c r="J11" s="4">
        <v>6</v>
      </c>
      <c r="K11" s="4">
        <v>7552</v>
      </c>
      <c r="L11" s="4">
        <v>6343</v>
      </c>
      <c r="M11" s="4" t="s">
        <v>729</v>
      </c>
      <c r="N11" s="4" t="s">
        <v>730</v>
      </c>
    </row>
    <row r="13" spans="1:15">
      <c r="A13" s="4" t="s">
        <v>153</v>
      </c>
    </row>
    <row r="14" spans="1:15">
      <c r="A14" s="4">
        <v>52533</v>
      </c>
      <c r="B14" s="4" t="s">
        <v>9</v>
      </c>
      <c r="C14" s="4" t="s">
        <v>145</v>
      </c>
      <c r="D14" s="4" t="s">
        <v>189</v>
      </c>
      <c r="E14" s="4" t="s">
        <v>413</v>
      </c>
      <c r="F14" s="5" t="str">
        <f>HYPERLINK("https://stat100.ameba.jp/tnk47/ratio20/illustrations/card/ill_52533_shinseiyagyosan03.jpg", "■")</f>
        <v>■</v>
      </c>
      <c r="G14" s="4" t="s">
        <v>829</v>
      </c>
      <c r="H14" s="4" t="s">
        <v>417</v>
      </c>
      <c r="I14" s="4" t="s">
        <v>418</v>
      </c>
      <c r="J14" s="4">
        <v>14</v>
      </c>
      <c r="K14" s="4">
        <v>20748</v>
      </c>
      <c r="L14" s="4">
        <v>23044</v>
      </c>
      <c r="M14" s="4" t="s">
        <v>830</v>
      </c>
      <c r="N14" s="4" t="s">
        <v>1</v>
      </c>
      <c r="O14" t="s">
        <v>933</v>
      </c>
    </row>
    <row r="15" spans="1:15">
      <c r="A15" s="4">
        <v>53823</v>
      </c>
      <c r="B15" s="4" t="s">
        <v>9</v>
      </c>
      <c r="C15" s="4" t="s">
        <v>149</v>
      </c>
      <c r="D15" s="4" t="s">
        <v>186</v>
      </c>
      <c r="E15" s="4" t="s">
        <v>414</v>
      </c>
      <c r="F15" s="5" t="str">
        <f>HYPERLINK("https://stat100.ameba.jp/tnk47/ratio20/illustrations/card/ill_53823_shinseininkenhatsumenotsubone03.jpg", "■")</f>
        <v>■</v>
      </c>
      <c r="G15" s="4" t="s">
        <v>831</v>
      </c>
      <c r="H15" s="4" t="s">
        <v>412</v>
      </c>
      <c r="I15" s="4" t="s">
        <v>977</v>
      </c>
      <c r="J15" s="4">
        <v>14</v>
      </c>
      <c r="K15" s="4">
        <v>23044</v>
      </c>
      <c r="L15" s="4">
        <v>20748</v>
      </c>
      <c r="M15" s="4" t="s">
        <v>832</v>
      </c>
      <c r="N15" s="4" t="s">
        <v>2</v>
      </c>
      <c r="O15" t="s">
        <v>933</v>
      </c>
    </row>
    <row r="16" spans="1:15">
      <c r="A16" s="4">
        <v>64153</v>
      </c>
      <c r="B16" s="4" t="s">
        <v>9</v>
      </c>
      <c r="C16" s="4" t="s">
        <v>151</v>
      </c>
      <c r="D16" s="4" t="s">
        <v>148</v>
      </c>
      <c r="E16" s="4" t="s">
        <v>415</v>
      </c>
      <c r="F16" s="5" t="str">
        <f>HYPERLINK("https://stat100.ameba.jp/tnk47/ratio20/illustrations/card/ill_64153_tsurumarukuninaga03.jpg", "■")</f>
        <v>■</v>
      </c>
      <c r="G16" s="4" t="s">
        <v>833</v>
      </c>
      <c r="H16" s="4" t="s">
        <v>412</v>
      </c>
      <c r="I16" s="4" t="s">
        <v>977</v>
      </c>
      <c r="J16" s="4">
        <v>14</v>
      </c>
      <c r="K16" s="4">
        <v>23044</v>
      </c>
      <c r="L16" s="4">
        <v>20748</v>
      </c>
      <c r="M16" s="4" t="s">
        <v>834</v>
      </c>
      <c r="N16" s="4" t="s">
        <v>3</v>
      </c>
      <c r="O16" t="s">
        <v>933</v>
      </c>
    </row>
    <row r="17" spans="1:14">
      <c r="A17" s="4">
        <v>44311</v>
      </c>
      <c r="B17" s="4" t="s">
        <v>9</v>
      </c>
      <c r="C17" s="4" t="s">
        <v>145</v>
      </c>
      <c r="D17" s="4" t="s">
        <v>146</v>
      </c>
      <c r="E17" s="4" t="s">
        <v>134</v>
      </c>
      <c r="F17" s="5" t="str">
        <f>HYPERLINK("https://stat100.ameba.jp/tnk47/ratio20/illustrations/card/ill_44311_shinseitoshusaisharaku01.jpg", "■")</f>
        <v>■</v>
      </c>
      <c r="G17" s="4" t="s">
        <v>127</v>
      </c>
      <c r="H17" s="4" t="s">
        <v>8</v>
      </c>
      <c r="I17" s="4" t="s">
        <v>977</v>
      </c>
      <c r="J17" s="4">
        <v>14</v>
      </c>
      <c r="K17" s="4">
        <v>23044</v>
      </c>
      <c r="L17" s="4">
        <v>20748</v>
      </c>
      <c r="M17" s="4" t="s">
        <v>40</v>
      </c>
      <c r="N17" s="4" t="s">
        <v>116</v>
      </c>
    </row>
    <row r="18" spans="1:14">
      <c r="A18" s="4">
        <v>45221</v>
      </c>
      <c r="B18" s="4" t="s">
        <v>9</v>
      </c>
      <c r="C18" s="4" t="s">
        <v>147</v>
      </c>
      <c r="D18" s="4" t="s">
        <v>148</v>
      </c>
      <c r="E18" s="4" t="s">
        <v>135</v>
      </c>
      <c r="F18" s="5" t="str">
        <f>HYPERLINK("https://stat100.ameba.jp/tnk47/ratio20/illustrations/card/ill_45221_shinseiamaterasu01.jpg", "■")</f>
        <v>■</v>
      </c>
      <c r="G18" s="4" t="s">
        <v>128</v>
      </c>
      <c r="H18" s="4" t="s">
        <v>412</v>
      </c>
      <c r="I18" s="4" t="s">
        <v>400</v>
      </c>
      <c r="J18" s="4">
        <v>14</v>
      </c>
      <c r="K18" s="4">
        <v>23044</v>
      </c>
      <c r="L18" s="4">
        <v>20748</v>
      </c>
      <c r="M18" s="4" t="s">
        <v>41</v>
      </c>
      <c r="N18" s="4" t="s">
        <v>117</v>
      </c>
    </row>
    <row r="19" spans="1:14">
      <c r="A19" s="4">
        <v>45311</v>
      </c>
      <c r="B19" s="4" t="s">
        <v>9</v>
      </c>
      <c r="C19" s="4" t="s">
        <v>149</v>
      </c>
      <c r="D19" s="4" t="s">
        <v>150</v>
      </c>
      <c r="E19" s="4" t="s">
        <v>136</v>
      </c>
      <c r="F19" s="5" t="str">
        <f>HYPERLINK("https://stat100.ameba.jp/tnk47/ratio20/illustrations/card/ill_45311_shinseikushikatsuchan01.jpg", "■")</f>
        <v>■</v>
      </c>
      <c r="G19" s="4" t="s">
        <v>31</v>
      </c>
      <c r="H19" s="4" t="s">
        <v>412</v>
      </c>
      <c r="I19" s="4" t="s">
        <v>400</v>
      </c>
      <c r="J19" s="4">
        <v>14</v>
      </c>
      <c r="K19" s="4">
        <v>23044</v>
      </c>
      <c r="L19" s="4">
        <v>20748</v>
      </c>
      <c r="M19" s="4" t="s">
        <v>42</v>
      </c>
      <c r="N19" s="4" t="s">
        <v>118</v>
      </c>
    </row>
    <row r="20" spans="1:14">
      <c r="A20" s="4">
        <v>47291</v>
      </c>
      <c r="B20" s="4" t="s">
        <v>9</v>
      </c>
      <c r="C20" s="4" t="s">
        <v>149</v>
      </c>
      <c r="D20" s="4" t="s">
        <v>141</v>
      </c>
      <c r="E20" s="4" t="s">
        <v>137</v>
      </c>
      <c r="F20" s="5" t="str">
        <f>HYPERLINK("https://stat100.ameba.jp/tnk47/ratio20/illustrations/card/ill_47291_shinseioeyamaonidensetsuminamotonoyorimitsu01.jpg", "■")</f>
        <v>■</v>
      </c>
      <c r="G20" s="4" t="s">
        <v>130</v>
      </c>
      <c r="H20" s="4" t="s">
        <v>412</v>
      </c>
      <c r="I20" s="4" t="s">
        <v>400</v>
      </c>
      <c r="J20" s="4">
        <v>14</v>
      </c>
      <c r="K20" s="4">
        <v>20748</v>
      </c>
      <c r="L20" s="4">
        <v>23044</v>
      </c>
      <c r="M20" s="4" t="s">
        <v>43</v>
      </c>
      <c r="N20" s="4" t="s">
        <v>119</v>
      </c>
    </row>
    <row r="21" spans="1:14">
      <c r="A21" s="4">
        <v>48071</v>
      </c>
      <c r="B21" s="4" t="s">
        <v>9</v>
      </c>
      <c r="C21" s="4" t="s">
        <v>151</v>
      </c>
      <c r="D21" s="4" t="s">
        <v>144</v>
      </c>
      <c r="E21" s="4" t="s">
        <v>138</v>
      </c>
      <c r="F21" s="5" t="str">
        <f>HYPERLINK("https://stat100.ameba.jp/tnk47/ratio20/illustrations/card/ill_48071_shinseiseiyaakarengasokochan01.jpg", "■")</f>
        <v>■</v>
      </c>
      <c r="G21" s="4" t="s">
        <v>131</v>
      </c>
      <c r="H21" s="4" t="s">
        <v>412</v>
      </c>
      <c r="I21" s="4" t="s">
        <v>400</v>
      </c>
      <c r="J21" s="4">
        <v>14</v>
      </c>
      <c r="K21" s="4">
        <v>20748</v>
      </c>
      <c r="L21" s="4">
        <v>23044</v>
      </c>
      <c r="M21" s="4" t="s">
        <v>44</v>
      </c>
      <c r="N21" s="4" t="s">
        <v>120</v>
      </c>
    </row>
    <row r="22" spans="1:14">
      <c r="A22" s="4">
        <v>48511</v>
      </c>
      <c r="B22" s="4" t="s">
        <v>9</v>
      </c>
      <c r="C22" s="4" t="s">
        <v>142</v>
      </c>
      <c r="D22" s="4" t="s">
        <v>143</v>
      </c>
      <c r="E22" s="4" t="s">
        <v>139</v>
      </c>
      <c r="F22" s="5" t="str">
        <f>HYPERLINK("https://stat100.ameba.jp/tnk47/ratio20/illustrations/card/ill_48511_shinseishimaduyoshihiro01.jpg", "■")</f>
        <v>■</v>
      </c>
      <c r="G22" s="4" t="s">
        <v>132</v>
      </c>
      <c r="H22" s="4" t="s">
        <v>412</v>
      </c>
      <c r="I22" s="4" t="s">
        <v>400</v>
      </c>
      <c r="J22" s="4">
        <v>14</v>
      </c>
      <c r="K22" s="4">
        <v>20748</v>
      </c>
      <c r="L22" s="4">
        <v>23044</v>
      </c>
      <c r="M22" s="4" t="s">
        <v>45</v>
      </c>
      <c r="N22" s="4" t="s">
        <v>121</v>
      </c>
    </row>
    <row r="23" spans="1:14">
      <c r="A23" s="4">
        <v>49541</v>
      </c>
      <c r="B23" s="4" t="s">
        <v>9</v>
      </c>
      <c r="C23" s="4" t="s">
        <v>149</v>
      </c>
      <c r="D23" s="4" t="s">
        <v>152</v>
      </c>
      <c r="E23" s="4" t="s">
        <v>140</v>
      </c>
      <c r="F23" s="5" t="str">
        <f>HYPERLINK("https://stat100.ameba.jp/tnk47/ratio20/illustrations/card/ill_49541_shinseishichiseikenshoutokutaishi01.jpg", "■")</f>
        <v>■</v>
      </c>
      <c r="G23" s="4" t="s">
        <v>133</v>
      </c>
      <c r="H23" s="4" t="s">
        <v>412</v>
      </c>
      <c r="I23" s="4" t="s">
        <v>977</v>
      </c>
      <c r="J23" s="4">
        <v>14</v>
      </c>
      <c r="K23" s="4">
        <v>23044</v>
      </c>
      <c r="L23" s="4">
        <v>20748</v>
      </c>
      <c r="M23" s="4" t="s">
        <v>46</v>
      </c>
      <c r="N23" s="4" t="s">
        <v>122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873E0-F99A-4087-9C94-9A70199CB9CF}">
  <dimension ref="A1:O23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4140625" style="4" customWidth="1"/>
    <col min="2" max="2" width="3.9140625" style="4" customWidth="1"/>
    <col min="3" max="3" width="12.25" style="4" customWidth="1"/>
    <col min="4" max="4" width="5.4140625" style="4" customWidth="1"/>
    <col min="5" max="5" width="31" style="4" customWidth="1"/>
    <col min="6" max="6" width="3.9140625" style="4" customWidth="1"/>
    <col min="7" max="7" width="30.9140625" style="4" hidden="1" customWidth="1"/>
    <col min="8" max="8" width="12.9140625" style="4" hidden="1" customWidth="1"/>
    <col min="9" max="9" width="17.33203125" style="4" hidden="1" customWidth="1"/>
    <col min="10" max="10" width="3.75" style="4" customWidth="1"/>
    <col min="11" max="12" width="7.08203125" style="4" customWidth="1"/>
    <col min="13" max="13" width="30.9140625" style="4" hidden="1" customWidth="1"/>
    <col min="14" max="14" width="71" style="4" customWidth="1"/>
    <col min="15" max="15" width="25.9140625" style="4" customWidth="1"/>
    <col min="16" max="16384" width="8.9140625" style="4"/>
  </cols>
  <sheetData>
    <row r="1" spans="1:15" s="1" customFormat="1">
      <c r="A1" s="2" t="s">
        <v>92</v>
      </c>
      <c r="B1" s="2" t="s">
        <v>26</v>
      </c>
      <c r="C1" s="2" t="s">
        <v>19</v>
      </c>
      <c r="D1" s="2" t="s">
        <v>20</v>
      </c>
      <c r="E1" s="2" t="s">
        <v>21</v>
      </c>
      <c r="F1" s="2" t="s">
        <v>93</v>
      </c>
      <c r="G1" s="2" t="s">
        <v>94</v>
      </c>
      <c r="H1" s="3" t="s">
        <v>30</v>
      </c>
      <c r="I1" s="3" t="s">
        <v>22</v>
      </c>
      <c r="J1" s="3" t="s">
        <v>78</v>
      </c>
      <c r="K1" s="3" t="s">
        <v>23</v>
      </c>
      <c r="L1" s="3" t="s">
        <v>24</v>
      </c>
      <c r="M1" s="3" t="s">
        <v>25</v>
      </c>
      <c r="N1" s="3" t="s">
        <v>480</v>
      </c>
      <c r="O1" s="3" t="s">
        <v>936</v>
      </c>
    </row>
    <row r="2" spans="1:15">
      <c r="E2" s="5"/>
      <c r="F2" s="5"/>
    </row>
    <row r="3" spans="1:15">
      <c r="A3" s="4">
        <v>55603</v>
      </c>
      <c r="B3" s="4" t="s">
        <v>95</v>
      </c>
      <c r="C3" s="4" t="s">
        <v>179</v>
      </c>
      <c r="D3" s="4" t="s">
        <v>148</v>
      </c>
      <c r="E3" s="4" t="s">
        <v>466</v>
      </c>
      <c r="F3" s="5" t="str">
        <f>HYPERLINK("https://stat100.ameba.jp/tnk47/ratio20/illustrations/card/ill_55603_daisen03.jpg", "■")</f>
        <v>■</v>
      </c>
      <c r="G3" s="4" t="s">
        <v>883</v>
      </c>
      <c r="J3" s="4">
        <v>10</v>
      </c>
      <c r="K3" s="4">
        <v>40789</v>
      </c>
      <c r="L3" s="4">
        <v>37921</v>
      </c>
      <c r="M3" s="4" t="s">
        <v>467</v>
      </c>
      <c r="N3" s="4" t="s">
        <v>468</v>
      </c>
    </row>
    <row r="4" spans="1:15">
      <c r="A4" s="4">
        <v>65053</v>
      </c>
      <c r="B4" s="4" t="s">
        <v>9</v>
      </c>
      <c r="C4" s="4" t="s">
        <v>650</v>
      </c>
      <c r="D4" s="4" t="s">
        <v>692</v>
      </c>
      <c r="E4" s="4" t="s">
        <v>731</v>
      </c>
      <c r="F4" s="5" t="str">
        <f>HYPERLINK("https://stat100.ameba.jp/tnk47/ratio20/illustrations/card/ill_65053_karuizawakogen03.jpg", "■")</f>
        <v>■</v>
      </c>
      <c r="G4" s="4" t="s">
        <v>884</v>
      </c>
      <c r="J4" s="4">
        <v>13</v>
      </c>
      <c r="K4" s="4">
        <v>33384</v>
      </c>
      <c r="L4" s="4">
        <v>30283</v>
      </c>
      <c r="M4" s="4" t="s">
        <v>732</v>
      </c>
      <c r="N4" s="4" t="s">
        <v>733</v>
      </c>
    </row>
    <row r="5" spans="1:15">
      <c r="A5" s="4">
        <v>55613</v>
      </c>
      <c r="B5" s="4" t="s">
        <v>9</v>
      </c>
      <c r="C5" s="4" t="s">
        <v>252</v>
      </c>
      <c r="D5" s="4" t="s">
        <v>148</v>
      </c>
      <c r="E5" s="4" t="s">
        <v>436</v>
      </c>
      <c r="F5" s="5" t="str">
        <f>HYPERLINK("https://stat100.ameba.jp/tnk47/ratio20/illustrations/card/ill_55613_tateyama03.jpg", "■")</f>
        <v>■</v>
      </c>
      <c r="G5" s="4" t="s">
        <v>885</v>
      </c>
      <c r="J5" s="4">
        <v>6</v>
      </c>
      <c r="K5" s="4">
        <v>16130</v>
      </c>
      <c r="L5" s="4">
        <v>17784</v>
      </c>
      <c r="M5" s="4" t="s">
        <v>437</v>
      </c>
      <c r="N5" s="4" t="s">
        <v>425</v>
      </c>
    </row>
    <row r="6" spans="1:15">
      <c r="A6" s="4">
        <v>55623</v>
      </c>
      <c r="B6" s="4" t="s">
        <v>9</v>
      </c>
      <c r="C6" s="4" t="s">
        <v>658</v>
      </c>
      <c r="D6" s="4" t="s">
        <v>707</v>
      </c>
      <c r="E6" s="4" t="s">
        <v>734</v>
      </c>
      <c r="F6" s="5" t="str">
        <f>HYPERLINK("https://stat100.ameba.jp/tnk47/ratio20/illustrations/card/ill_55623_asosan03.jpg", "■")</f>
        <v>■</v>
      </c>
      <c r="G6" s="4" t="s">
        <v>886</v>
      </c>
      <c r="J6" s="4">
        <v>10</v>
      </c>
      <c r="K6" s="4">
        <v>29640</v>
      </c>
      <c r="L6" s="4">
        <v>26884</v>
      </c>
      <c r="M6" s="4" t="s">
        <v>735</v>
      </c>
      <c r="N6" s="4" t="s">
        <v>510</v>
      </c>
    </row>
    <row r="7" spans="1:15">
      <c r="A7" s="4">
        <v>39573</v>
      </c>
      <c r="B7" s="4" t="s">
        <v>10</v>
      </c>
      <c r="C7" s="4" t="s">
        <v>650</v>
      </c>
      <c r="D7" s="4" t="s">
        <v>707</v>
      </c>
      <c r="E7" s="4" t="s">
        <v>738</v>
      </c>
      <c r="F7" s="5" t="str">
        <f>HYPERLINK("https://stat100.ameba.jp/tnk47/ratio20/illustrations/card/ill_39573_myojotenshi03.jpg", "■")</f>
        <v>■</v>
      </c>
      <c r="G7" s="4" t="s">
        <v>887</v>
      </c>
      <c r="J7" s="4">
        <v>9</v>
      </c>
      <c r="K7" s="4">
        <v>15559</v>
      </c>
      <c r="L7" s="4">
        <v>18712</v>
      </c>
      <c r="M7" s="4" t="s">
        <v>739</v>
      </c>
      <c r="N7" s="4" t="s">
        <v>740</v>
      </c>
    </row>
    <row r="8" spans="1:15">
      <c r="A8" s="4">
        <v>54163</v>
      </c>
      <c r="B8" s="4" t="s">
        <v>10</v>
      </c>
      <c r="C8" s="4" t="s">
        <v>713</v>
      </c>
      <c r="D8" s="4" t="s">
        <v>646</v>
      </c>
      <c r="E8" s="4" t="s">
        <v>736</v>
      </c>
      <c r="F8" s="5" t="str">
        <f>HYPERLINK("https://stat100.ameba.jp/tnk47/ratio20/illustrations/card/ill_54163_hirahakko03.jpg", "■")</f>
        <v>■</v>
      </c>
      <c r="G8" s="4" t="s">
        <v>888</v>
      </c>
      <c r="J8" s="4">
        <v>8</v>
      </c>
      <c r="K8" s="4">
        <v>16633</v>
      </c>
      <c r="L8" s="4">
        <v>13830</v>
      </c>
      <c r="M8" s="4" t="s">
        <v>737</v>
      </c>
      <c r="N8" s="4" t="s">
        <v>812</v>
      </c>
    </row>
    <row r="9" spans="1:15">
      <c r="A9" s="4">
        <v>65073</v>
      </c>
      <c r="B9" s="4" t="s">
        <v>11</v>
      </c>
      <c r="C9" s="4" t="s">
        <v>671</v>
      </c>
      <c r="D9" s="4" t="s">
        <v>707</v>
      </c>
      <c r="E9" s="4" t="s">
        <v>741</v>
      </c>
      <c r="F9" s="5" t="str">
        <f>HYPERLINK("https://stat100.ameba.jp/tnk47/ratio20/illustrations/card/ill_65073_hojofutaoijimanoyamanokami03.jpg", "■")</f>
        <v>■</v>
      </c>
      <c r="G9" s="4" t="s">
        <v>889</v>
      </c>
      <c r="J9" s="4">
        <v>9</v>
      </c>
      <c r="K9" s="4">
        <v>11329</v>
      </c>
      <c r="L9" s="4">
        <v>9514</v>
      </c>
      <c r="M9" s="4" t="s">
        <v>742</v>
      </c>
      <c r="N9" s="4" t="s">
        <v>743</v>
      </c>
    </row>
    <row r="10" spans="1:15">
      <c r="A10" s="4">
        <v>65083</v>
      </c>
      <c r="B10" s="4" t="s">
        <v>11</v>
      </c>
      <c r="C10" s="4" t="s">
        <v>745</v>
      </c>
      <c r="D10" s="4" t="s">
        <v>692</v>
      </c>
      <c r="E10" s="4" t="s">
        <v>744</v>
      </c>
      <c r="F10" s="5" t="str">
        <f>HYPERLINK("https://stat100.ameba.jp/tnk47/ratio20/illustrations/card/ill_65083_yamagaru03.jpg", "■")</f>
        <v>■</v>
      </c>
      <c r="G10" s="4" t="s">
        <v>890</v>
      </c>
      <c r="J10" s="4">
        <v>9</v>
      </c>
      <c r="K10" s="4">
        <v>9514</v>
      </c>
      <c r="L10" s="4">
        <v>11329</v>
      </c>
      <c r="M10" s="4" t="s">
        <v>746</v>
      </c>
      <c r="N10" s="4" t="s">
        <v>694</v>
      </c>
    </row>
    <row r="11" spans="1:15">
      <c r="A11" s="4">
        <v>44643</v>
      </c>
      <c r="B11" s="4" t="s">
        <v>11</v>
      </c>
      <c r="C11" s="4" t="s">
        <v>645</v>
      </c>
      <c r="D11" s="4" t="s">
        <v>748</v>
      </c>
      <c r="E11" s="4" t="s">
        <v>747</v>
      </c>
      <c r="F11" s="5" t="str">
        <f>HYPERLINK("https://stat100.ameba.jp/tnk47/ratio20/illustrations/card/ill_44643_satakeyoshinobu03.jpg", "■")</f>
        <v>■</v>
      </c>
      <c r="G11" s="4" t="s">
        <v>891</v>
      </c>
      <c r="J11" s="4">
        <v>6</v>
      </c>
      <c r="K11" s="4">
        <v>6343</v>
      </c>
      <c r="L11" s="4">
        <v>7552</v>
      </c>
      <c r="M11" s="4" t="s">
        <v>749</v>
      </c>
      <c r="N11" s="4" t="s">
        <v>669</v>
      </c>
    </row>
    <row r="13" spans="1:15">
      <c r="A13" s="4" t="s">
        <v>153</v>
      </c>
    </row>
    <row r="14" spans="1:15">
      <c r="A14" s="4">
        <v>52533</v>
      </c>
      <c r="B14" s="4" t="s">
        <v>9</v>
      </c>
      <c r="C14" s="4" t="s">
        <v>145</v>
      </c>
      <c r="D14" s="4" t="s">
        <v>189</v>
      </c>
      <c r="E14" s="4" t="s">
        <v>949</v>
      </c>
      <c r="F14" s="5" t="str">
        <f>HYPERLINK("https://stat100.ameba.jp/tnk47/ratio20/illustrations/card/ill_52533_shinseiyagyosan03.jpg", "■")</f>
        <v>■</v>
      </c>
      <c r="G14" s="4" t="s">
        <v>829</v>
      </c>
      <c r="H14" s="4" t="s">
        <v>412</v>
      </c>
      <c r="I14" s="4" t="s">
        <v>977</v>
      </c>
      <c r="J14" s="4">
        <v>14</v>
      </c>
      <c r="K14" s="4">
        <v>20748</v>
      </c>
      <c r="L14" s="4">
        <v>23044</v>
      </c>
      <c r="M14" s="4" t="s">
        <v>830</v>
      </c>
      <c r="N14" s="4" t="s">
        <v>1</v>
      </c>
      <c r="O14" t="s">
        <v>933</v>
      </c>
    </row>
    <row r="15" spans="1:15">
      <c r="A15" s="4">
        <v>53823</v>
      </c>
      <c r="B15" s="4" t="s">
        <v>9</v>
      </c>
      <c r="C15" s="4" t="s">
        <v>149</v>
      </c>
      <c r="D15" s="4" t="s">
        <v>186</v>
      </c>
      <c r="E15" s="4" t="s">
        <v>950</v>
      </c>
      <c r="F15" s="5" t="str">
        <f>HYPERLINK("https://stat100.ameba.jp/tnk47/ratio20/illustrations/card/ill_53823_shinseininkenhatsumenotsubone03.jpg", "■")</f>
        <v>■</v>
      </c>
      <c r="G15" s="4" t="s">
        <v>831</v>
      </c>
      <c r="H15" s="4" t="s">
        <v>412</v>
      </c>
      <c r="I15" s="4" t="s">
        <v>977</v>
      </c>
      <c r="J15" s="4">
        <v>14</v>
      </c>
      <c r="K15" s="4">
        <v>23044</v>
      </c>
      <c r="L15" s="4">
        <v>20748</v>
      </c>
      <c r="M15" s="4" t="s">
        <v>832</v>
      </c>
      <c r="N15" s="4" t="s">
        <v>2</v>
      </c>
      <c r="O15" t="s">
        <v>933</v>
      </c>
    </row>
    <row r="16" spans="1:15">
      <c r="A16" s="4">
        <v>64153</v>
      </c>
      <c r="B16" s="4" t="s">
        <v>9</v>
      </c>
      <c r="C16" s="4" t="s">
        <v>151</v>
      </c>
      <c r="D16" s="4" t="s">
        <v>148</v>
      </c>
      <c r="E16" s="4" t="s">
        <v>951</v>
      </c>
      <c r="F16" s="5" t="str">
        <f>HYPERLINK("https://stat100.ameba.jp/tnk47/ratio20/illustrations/card/ill_64153_tsurumarukuninaga03.jpg", "■")</f>
        <v>■</v>
      </c>
      <c r="G16" s="4" t="s">
        <v>833</v>
      </c>
      <c r="H16" s="4" t="s">
        <v>412</v>
      </c>
      <c r="I16" s="4" t="s">
        <v>977</v>
      </c>
      <c r="J16" s="4">
        <v>14</v>
      </c>
      <c r="K16" s="4">
        <v>23044</v>
      </c>
      <c r="L16" s="4">
        <v>20748</v>
      </c>
      <c r="M16" s="4" t="s">
        <v>834</v>
      </c>
      <c r="N16" s="4" t="s">
        <v>3</v>
      </c>
      <c r="O16" t="s">
        <v>933</v>
      </c>
    </row>
    <row r="17" spans="1:14">
      <c r="A17" s="4">
        <v>44311</v>
      </c>
      <c r="B17" s="4" t="s">
        <v>9</v>
      </c>
      <c r="C17" s="4" t="s">
        <v>145</v>
      </c>
      <c r="D17" s="4" t="s">
        <v>146</v>
      </c>
      <c r="E17" s="4" t="s">
        <v>134</v>
      </c>
      <c r="F17" s="5" t="str">
        <f>HYPERLINK("https://stat100.ameba.jp/tnk47/ratio20/illustrations/card/ill_44311_shinseitoshusaisharaku01.jpg", "■")</f>
        <v>■</v>
      </c>
      <c r="G17" s="4" t="s">
        <v>127</v>
      </c>
      <c r="H17" s="4" t="s">
        <v>416</v>
      </c>
      <c r="I17" s="4" t="s">
        <v>978</v>
      </c>
      <c r="J17" s="4">
        <v>14</v>
      </c>
      <c r="K17" s="4">
        <v>23044</v>
      </c>
      <c r="L17" s="4">
        <v>20748</v>
      </c>
      <c r="M17" s="4" t="s">
        <v>40</v>
      </c>
      <c r="N17" s="4" t="s">
        <v>116</v>
      </c>
    </row>
    <row r="18" spans="1:14">
      <c r="A18" s="4">
        <v>45221</v>
      </c>
      <c r="B18" s="4" t="s">
        <v>9</v>
      </c>
      <c r="C18" s="4" t="s">
        <v>147</v>
      </c>
      <c r="D18" s="4" t="s">
        <v>148</v>
      </c>
      <c r="E18" s="4" t="s">
        <v>135</v>
      </c>
      <c r="F18" s="5" t="str">
        <f>HYPERLINK("https://stat100.ameba.jp/tnk47/ratio20/illustrations/card/ill_45221_shinseiamaterasu01.jpg", "■")</f>
        <v>■</v>
      </c>
      <c r="G18" s="4" t="s">
        <v>128</v>
      </c>
      <c r="H18" s="4" t="s">
        <v>412</v>
      </c>
      <c r="I18" s="4" t="s">
        <v>400</v>
      </c>
      <c r="J18" s="4">
        <v>14</v>
      </c>
      <c r="K18" s="4">
        <v>23044</v>
      </c>
      <c r="L18" s="4">
        <v>20748</v>
      </c>
      <c r="M18" s="4" t="s">
        <v>41</v>
      </c>
      <c r="N18" s="4" t="s">
        <v>117</v>
      </c>
    </row>
    <row r="19" spans="1:14">
      <c r="A19" s="4">
        <v>45311</v>
      </c>
      <c r="B19" s="4" t="s">
        <v>9</v>
      </c>
      <c r="C19" s="4" t="s">
        <v>149</v>
      </c>
      <c r="D19" s="4" t="s">
        <v>150</v>
      </c>
      <c r="E19" s="4" t="s">
        <v>136</v>
      </c>
      <c r="F19" s="5" t="str">
        <f>HYPERLINK("https://stat100.ameba.jp/tnk47/ratio20/illustrations/card/ill_45311_shinseikushikatsuchan01.jpg", "■")</f>
        <v>■</v>
      </c>
      <c r="G19" s="4" t="s">
        <v>31</v>
      </c>
      <c r="H19" s="4" t="s">
        <v>412</v>
      </c>
      <c r="I19" s="4" t="s">
        <v>400</v>
      </c>
      <c r="J19" s="4">
        <v>14</v>
      </c>
      <c r="K19" s="4">
        <v>23044</v>
      </c>
      <c r="L19" s="4">
        <v>20748</v>
      </c>
      <c r="M19" s="4" t="s">
        <v>42</v>
      </c>
      <c r="N19" s="4" t="s">
        <v>118</v>
      </c>
    </row>
    <row r="20" spans="1:14">
      <c r="A20" s="4">
        <v>47291</v>
      </c>
      <c r="B20" s="4" t="s">
        <v>9</v>
      </c>
      <c r="C20" s="4" t="s">
        <v>149</v>
      </c>
      <c r="D20" s="4" t="s">
        <v>141</v>
      </c>
      <c r="E20" s="4" t="s">
        <v>137</v>
      </c>
      <c r="F20" s="5" t="str">
        <f>HYPERLINK("https://stat100.ameba.jp/tnk47/ratio20/illustrations/card/ill_47291_shinseioeyamaonidensetsuminamotonoyorimitsu01.jpg", "■")</f>
        <v>■</v>
      </c>
      <c r="G20" s="4" t="s">
        <v>130</v>
      </c>
      <c r="H20" s="4" t="s">
        <v>412</v>
      </c>
      <c r="I20" s="4" t="s">
        <v>400</v>
      </c>
      <c r="J20" s="4">
        <v>14</v>
      </c>
      <c r="K20" s="4">
        <v>20748</v>
      </c>
      <c r="L20" s="4">
        <v>23044</v>
      </c>
      <c r="M20" s="4" t="s">
        <v>43</v>
      </c>
      <c r="N20" s="4" t="s">
        <v>119</v>
      </c>
    </row>
    <row r="21" spans="1:14">
      <c r="A21" s="4">
        <v>48071</v>
      </c>
      <c r="B21" s="4" t="s">
        <v>9</v>
      </c>
      <c r="C21" s="4" t="s">
        <v>151</v>
      </c>
      <c r="D21" s="4" t="s">
        <v>144</v>
      </c>
      <c r="E21" s="4" t="s">
        <v>138</v>
      </c>
      <c r="F21" s="5" t="str">
        <f>HYPERLINK("https://stat100.ameba.jp/tnk47/ratio20/illustrations/card/ill_48071_shinseiseiyaakarengasokochan01.jpg", "■")</f>
        <v>■</v>
      </c>
      <c r="G21" s="4" t="s">
        <v>131</v>
      </c>
      <c r="H21" s="4" t="s">
        <v>412</v>
      </c>
      <c r="I21" s="4" t="s">
        <v>400</v>
      </c>
      <c r="J21" s="4">
        <v>14</v>
      </c>
      <c r="K21" s="4">
        <v>20748</v>
      </c>
      <c r="L21" s="4">
        <v>23044</v>
      </c>
      <c r="M21" s="4" t="s">
        <v>44</v>
      </c>
      <c r="N21" s="4" t="s">
        <v>120</v>
      </c>
    </row>
    <row r="22" spans="1:14">
      <c r="A22" s="4">
        <v>48511</v>
      </c>
      <c r="B22" s="4" t="s">
        <v>9</v>
      </c>
      <c r="C22" s="4" t="s">
        <v>142</v>
      </c>
      <c r="D22" s="4" t="s">
        <v>143</v>
      </c>
      <c r="E22" s="4" t="s">
        <v>139</v>
      </c>
      <c r="F22" s="5" t="str">
        <f>HYPERLINK("https://stat100.ameba.jp/tnk47/ratio20/illustrations/card/ill_48511_shinseishimaduyoshihiro01.jpg", "■")</f>
        <v>■</v>
      </c>
      <c r="G22" s="4" t="s">
        <v>132</v>
      </c>
      <c r="H22" s="4" t="s">
        <v>412</v>
      </c>
      <c r="I22" s="4" t="s">
        <v>400</v>
      </c>
      <c r="J22" s="4">
        <v>14</v>
      </c>
      <c r="K22" s="4">
        <v>20748</v>
      </c>
      <c r="L22" s="4">
        <v>23044</v>
      </c>
      <c r="M22" s="4" t="s">
        <v>45</v>
      </c>
      <c r="N22" s="4" t="s">
        <v>121</v>
      </c>
    </row>
    <row r="23" spans="1:14">
      <c r="A23" s="4">
        <v>49541</v>
      </c>
      <c r="B23" s="4" t="s">
        <v>9</v>
      </c>
      <c r="C23" s="4" t="s">
        <v>149</v>
      </c>
      <c r="D23" s="4" t="s">
        <v>152</v>
      </c>
      <c r="E23" s="4" t="s">
        <v>140</v>
      </c>
      <c r="F23" s="5" t="str">
        <f>HYPERLINK("https://stat100.ameba.jp/tnk47/ratio20/illustrations/card/ill_49541_shinseishichiseikenshoutokutaishi01.jpg", "■")</f>
        <v>■</v>
      </c>
      <c r="G23" s="4" t="s">
        <v>133</v>
      </c>
      <c r="H23" s="4" t="s">
        <v>412</v>
      </c>
      <c r="I23" s="4" t="s">
        <v>977</v>
      </c>
      <c r="J23" s="4">
        <v>14</v>
      </c>
      <c r="K23" s="4">
        <v>23044</v>
      </c>
      <c r="L23" s="4">
        <v>20748</v>
      </c>
      <c r="M23" s="4" t="s">
        <v>46</v>
      </c>
      <c r="N23" s="4" t="s">
        <v>122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1701一部</vt:lpstr>
      <vt:lpstr>1701二部</vt:lpstr>
      <vt:lpstr>1702</vt:lpstr>
      <vt:lpstr>1703</vt:lpstr>
      <vt:lpstr>1704</vt:lpstr>
      <vt:lpstr>1705</vt:lpstr>
      <vt:lpstr>1706</vt:lpstr>
      <vt:lpstr>1707</vt:lpstr>
      <vt:lpstr>1708</vt:lpstr>
      <vt:lpstr>1709</vt:lpstr>
      <vt:lpstr>1710</vt:lpstr>
      <vt:lpstr>1711</vt:lpstr>
      <vt:lpstr>1712</vt:lpstr>
      <vt:lpstr>1801</vt:lpstr>
      <vt:lpstr>1802</vt:lpstr>
      <vt:lpstr>1803</vt:lpstr>
      <vt:lpstr>1804</vt:lpstr>
      <vt:lpstr>1805</vt:lpstr>
      <vt:lpstr>1806</vt:lpstr>
      <vt:lpstr>1807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2021-10-10T14:15:47Z</dcterms:modified>
</cp:coreProperties>
</file>