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293" documentId="8_{165D0982-1703-4C30-901D-1468F0F4449B}" xr6:coauthVersionLast="47" xr6:coauthVersionMax="47" xr10:uidLastSave="{F6F8A137-D41F-44D6-BB1B-14DA526CB938}"/>
  <bookViews>
    <workbookView xWindow="760" yWindow="760" windowWidth="13720" windowHeight="10880" tabRatio="742" firstSheet="44" activeTab="47" xr2:uid="{00000000-000D-0000-FFFF-FFFF00000000}"/>
  </bookViews>
  <sheets>
    <sheet name="1608" sheetId="11" r:id="rId1"/>
    <sheet name="1801" sheetId="10" r:id="rId2"/>
    <sheet name="1802" sheetId="9" r:id="rId3"/>
    <sheet name="1803" sheetId="1" r:id="rId4"/>
    <sheet name="1804" sheetId="3" r:id="rId5"/>
    <sheet name="1805" sheetId="7" r:id="rId6"/>
    <sheet name="1806" sheetId="6" r:id="rId7"/>
    <sheet name="1807" sheetId="2" r:id="rId8"/>
    <sheet name="1808" sheetId="4" r:id="rId9"/>
    <sheet name="1809" sheetId="5" r:id="rId10"/>
    <sheet name="1810←" sheetId="13" r:id="rId11"/>
    <sheet name="1811" sheetId="12" r:id="rId12"/>
    <sheet name="1812" sheetId="14" r:id="rId13"/>
    <sheet name="1901" sheetId="15" r:id="rId14"/>
    <sheet name="1902" sheetId="16" r:id="rId15"/>
    <sheet name="1903" sheetId="17" r:id="rId16"/>
    <sheet name="1904" sheetId="18" r:id="rId17"/>
    <sheet name="1905" sheetId="19" r:id="rId18"/>
    <sheet name="1906" sheetId="20" r:id="rId19"/>
    <sheet name="1907" sheetId="21" r:id="rId20"/>
    <sheet name="1908" sheetId="22" r:id="rId21"/>
    <sheet name="1909" sheetId="23" r:id="rId22"/>
    <sheet name="1910" sheetId="24" r:id="rId23"/>
    <sheet name="1911" sheetId="25" r:id="rId24"/>
    <sheet name="1912" sheetId="26" r:id="rId25"/>
    <sheet name="2001" sheetId="27" r:id="rId26"/>
    <sheet name="2002" sheetId="28" r:id="rId27"/>
    <sheet name="2003" sheetId="29" r:id="rId28"/>
    <sheet name="2004" sheetId="30" r:id="rId29"/>
    <sheet name="2005" sheetId="31" r:id="rId30"/>
    <sheet name="2006" sheetId="32" r:id="rId31"/>
    <sheet name="2007" sheetId="33" r:id="rId32"/>
    <sheet name="2008" sheetId="34" r:id="rId33"/>
    <sheet name="2009" sheetId="35" r:id="rId34"/>
    <sheet name="2010" sheetId="36" r:id="rId35"/>
    <sheet name="2011" sheetId="37" r:id="rId36"/>
    <sheet name="2012" sheetId="40" r:id="rId37"/>
    <sheet name="2101" sheetId="39" r:id="rId38"/>
    <sheet name="2102" sheetId="38" r:id="rId39"/>
    <sheet name="2103" sheetId="41" r:id="rId40"/>
    <sheet name="2104" sheetId="42" r:id="rId41"/>
    <sheet name="2105" sheetId="43" r:id="rId42"/>
    <sheet name="2106" sheetId="44" r:id="rId43"/>
    <sheet name="2107" sheetId="45" r:id="rId44"/>
    <sheet name="2108" sheetId="46" r:id="rId45"/>
    <sheet name="2109" sheetId="47" r:id="rId46"/>
    <sheet name="2110" sheetId="48" r:id="rId47"/>
    <sheet name="2111" sheetId="49" r:id="rId48"/>
    <sheet name="2112" sheetId="50" r:id="rId49"/>
    <sheet name="2201" sheetId="51" r:id="rId50"/>
    <sheet name="2202" sheetId="52" r:id="rId51"/>
    <sheet name="2203" sheetId="53" r:id="rId52"/>
    <sheet name="2204" sheetId="54" r:id="rId53"/>
    <sheet name="テンプレ" sheetId="8" r:id="rId5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54" l="1"/>
  <c r="F30" i="54"/>
  <c r="F29" i="54"/>
  <c r="F26" i="54"/>
  <c r="F25" i="54"/>
  <c r="F24" i="54"/>
  <c r="F23" i="54"/>
  <c r="F22" i="54"/>
  <c r="F21" i="54"/>
  <c r="I20" i="54"/>
  <c r="F20" i="54"/>
  <c r="I19" i="54"/>
  <c r="F19" i="54"/>
  <c r="I18" i="54"/>
  <c r="F18" i="54"/>
  <c r="I17" i="54"/>
  <c r="F17" i="54"/>
  <c r="I16" i="54"/>
  <c r="F16" i="54"/>
  <c r="I15" i="54"/>
  <c r="F15" i="54"/>
  <c r="F14" i="54"/>
  <c r="F11" i="54"/>
  <c r="F10" i="54"/>
  <c r="F9" i="54"/>
  <c r="F8" i="54"/>
  <c r="F7" i="54"/>
  <c r="F6" i="54"/>
  <c r="F5" i="54"/>
  <c r="F4" i="54"/>
  <c r="F3" i="54"/>
  <c r="F31" i="53" l="1"/>
  <c r="F11" i="53"/>
  <c r="F10" i="53"/>
  <c r="F9" i="53"/>
  <c r="F8" i="53"/>
  <c r="F7" i="53"/>
  <c r="F6" i="53"/>
  <c r="F5" i="53"/>
  <c r="F4" i="53"/>
  <c r="F3" i="53"/>
  <c r="F30" i="53"/>
  <c r="F29" i="53"/>
  <c r="F26" i="53"/>
  <c r="F25" i="53"/>
  <c r="F24" i="53"/>
  <c r="F23" i="53"/>
  <c r="F22" i="53"/>
  <c r="F21" i="53"/>
  <c r="I20" i="53"/>
  <c r="F20" i="53"/>
  <c r="I19" i="53"/>
  <c r="F19" i="53"/>
  <c r="I18" i="53"/>
  <c r="F18" i="53"/>
  <c r="I17" i="53"/>
  <c r="F17" i="53"/>
  <c r="I16" i="53"/>
  <c r="F16" i="53"/>
  <c r="I15" i="53"/>
  <c r="F15" i="53"/>
  <c r="F14" i="53"/>
  <c r="F31" i="52" l="1"/>
  <c r="F11" i="52" l="1"/>
  <c r="F10" i="52"/>
  <c r="F9" i="52"/>
  <c r="F8" i="52"/>
  <c r="F7" i="52"/>
  <c r="F6" i="52"/>
  <c r="F5" i="52"/>
  <c r="F4" i="52" l="1"/>
  <c r="F3" i="52"/>
  <c r="F30" i="52"/>
  <c r="F29" i="52"/>
  <c r="F26" i="52"/>
  <c r="F25" i="52"/>
  <c r="F24" i="52"/>
  <c r="F23" i="52"/>
  <c r="F22" i="52"/>
  <c r="F21" i="52"/>
  <c r="I20" i="52"/>
  <c r="F20" i="52"/>
  <c r="I19" i="52"/>
  <c r="F19" i="52"/>
  <c r="I18" i="52"/>
  <c r="F18" i="52"/>
  <c r="I17" i="52"/>
  <c r="F17" i="52"/>
  <c r="I16" i="52"/>
  <c r="F16" i="52"/>
  <c r="I15" i="52"/>
  <c r="F15" i="52"/>
  <c r="F14" i="52"/>
  <c r="F11" i="51"/>
  <c r="F10" i="51"/>
  <c r="F9" i="51"/>
  <c r="F8" i="51"/>
  <c r="F7" i="51"/>
  <c r="F6" i="51"/>
  <c r="F5" i="51"/>
  <c r="F4" i="51"/>
  <c r="F3" i="51"/>
  <c r="F31" i="51"/>
  <c r="F30" i="51"/>
  <c r="F29" i="51"/>
  <c r="F26" i="51"/>
  <c r="F25" i="51"/>
  <c r="F24" i="51"/>
  <c r="F23" i="51"/>
  <c r="F22" i="51"/>
  <c r="F21" i="51"/>
  <c r="I20" i="51"/>
  <c r="F20" i="51"/>
  <c r="I19" i="51"/>
  <c r="F19" i="51"/>
  <c r="I18" i="51"/>
  <c r="F18" i="51"/>
  <c r="I17" i="51"/>
  <c r="F17" i="51"/>
  <c r="I16" i="51"/>
  <c r="F16" i="51"/>
  <c r="I15" i="51"/>
  <c r="F15" i="51"/>
  <c r="F14" i="51"/>
  <c r="F31" i="50"/>
  <c r="F3" i="50"/>
  <c r="F4" i="50"/>
  <c r="F5" i="50"/>
  <c r="F6" i="50"/>
  <c r="F7" i="50"/>
  <c r="F8" i="50"/>
  <c r="F9" i="50"/>
  <c r="F10" i="50"/>
  <c r="F11" i="50"/>
  <c r="F30" i="50"/>
  <c r="F29" i="50"/>
  <c r="F26" i="50"/>
  <c r="F25" i="50"/>
  <c r="F24" i="50"/>
  <c r="F23" i="50"/>
  <c r="F22" i="50"/>
  <c r="F21" i="50"/>
  <c r="I20" i="50"/>
  <c r="F20" i="50"/>
  <c r="I19" i="50"/>
  <c r="F19" i="50"/>
  <c r="I18" i="50"/>
  <c r="F18" i="50"/>
  <c r="I17" i="50"/>
  <c r="F17" i="50"/>
  <c r="I16" i="50"/>
  <c r="F16" i="50"/>
  <c r="I15" i="50"/>
  <c r="F15" i="50"/>
  <c r="F14" i="50"/>
  <c r="F31" i="49"/>
  <c r="F11" i="49"/>
  <c r="F10" i="49"/>
  <c r="F9" i="49"/>
  <c r="F8" i="49"/>
  <c r="F7" i="49"/>
  <c r="F6" i="49"/>
  <c r="F5" i="49"/>
  <c r="F4" i="49"/>
  <c r="F3" i="49"/>
  <c r="F30" i="49"/>
  <c r="F29" i="49"/>
  <c r="F26" i="49"/>
  <c r="F25" i="49"/>
  <c r="F24" i="49"/>
  <c r="F23" i="49"/>
  <c r="F22" i="49"/>
  <c r="F21" i="49"/>
  <c r="I20" i="49"/>
  <c r="F20" i="49"/>
  <c r="I19" i="49"/>
  <c r="F19" i="49"/>
  <c r="I18" i="49"/>
  <c r="F18" i="49"/>
  <c r="I17" i="49"/>
  <c r="F17" i="49"/>
  <c r="I16" i="49"/>
  <c r="F16" i="49"/>
  <c r="I15" i="49"/>
  <c r="F15" i="49"/>
  <c r="F14" i="49"/>
  <c r="F26" i="8"/>
  <c r="F25" i="8"/>
  <c r="F24" i="8"/>
  <c r="F23" i="8"/>
  <c r="F22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F14" i="8"/>
  <c r="I20" i="48"/>
  <c r="I19" i="48"/>
  <c r="I18" i="48"/>
  <c r="I17" i="48"/>
  <c r="I16" i="48"/>
  <c r="I15" i="48"/>
  <c r="F26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31" i="48"/>
  <c r="F11" i="48"/>
  <c r="F10" i="48"/>
  <c r="F9" i="48"/>
  <c r="F8" i="48"/>
  <c r="F7" i="48"/>
  <c r="F6" i="48"/>
  <c r="F5" i="48"/>
  <c r="F4" i="48"/>
  <c r="F3" i="48"/>
  <c r="F30" i="48"/>
  <c r="F29" i="48"/>
  <c r="F11" i="47"/>
  <c r="F10" i="47"/>
  <c r="F9" i="47"/>
  <c r="F8" i="47"/>
  <c r="F7" i="47"/>
  <c r="F6" i="47"/>
  <c r="F5" i="47"/>
  <c r="F4" i="47"/>
  <c r="F3" i="47"/>
  <c r="F31" i="47"/>
  <c r="F30" i="47"/>
  <c r="F29" i="47"/>
  <c r="F26" i="47"/>
  <c r="F25" i="47"/>
  <c r="F24" i="47"/>
  <c r="F23" i="47"/>
  <c r="F22" i="47"/>
  <c r="F21" i="47"/>
  <c r="I20" i="47"/>
  <c r="F20" i="47"/>
  <c r="I19" i="47"/>
  <c r="F19" i="47"/>
  <c r="I18" i="47"/>
  <c r="F18" i="47"/>
  <c r="I17" i="47"/>
  <c r="F17" i="47"/>
  <c r="I16" i="47"/>
  <c r="F16" i="47"/>
  <c r="I15" i="47"/>
  <c r="F15" i="47"/>
  <c r="F14" i="47"/>
  <c r="F31" i="46"/>
  <c r="F11" i="46"/>
  <c r="F10" i="46"/>
  <c r="F5" i="46"/>
  <c r="F9" i="46"/>
  <c r="F8" i="46"/>
  <c r="F7" i="46"/>
  <c r="F6" i="46"/>
  <c r="F4" i="46"/>
  <c r="F3" i="46"/>
  <c r="F30" i="46"/>
  <c r="F29" i="46"/>
  <c r="F26" i="46"/>
  <c r="F25" i="46"/>
  <c r="F24" i="46"/>
  <c r="F23" i="46"/>
  <c r="F22" i="46"/>
  <c r="F21" i="46"/>
  <c r="I20" i="46"/>
  <c r="F20" i="46"/>
  <c r="I19" i="46"/>
  <c r="F19" i="46"/>
  <c r="I18" i="46"/>
  <c r="F18" i="46"/>
  <c r="I17" i="46"/>
  <c r="F17" i="46"/>
  <c r="I16" i="46"/>
  <c r="F16" i="46"/>
  <c r="I15" i="46"/>
  <c r="F15" i="46"/>
  <c r="F14" i="46"/>
  <c r="F31" i="45"/>
  <c r="F11" i="45"/>
  <c r="F10" i="45"/>
  <c r="F9" i="45"/>
  <c r="F8" i="45"/>
  <c r="F7" i="45"/>
  <c r="F6" i="45"/>
  <c r="F5" i="45"/>
  <c r="F4" i="45"/>
  <c r="F3" i="45"/>
  <c r="F30" i="45"/>
  <c r="F29" i="45"/>
  <c r="F26" i="45"/>
  <c r="F25" i="45"/>
  <c r="F24" i="45"/>
  <c r="F23" i="45"/>
  <c r="F22" i="45"/>
  <c r="F21" i="45"/>
  <c r="I20" i="45"/>
  <c r="F20" i="45"/>
  <c r="I19" i="45"/>
  <c r="F19" i="45"/>
  <c r="I18" i="45"/>
  <c r="F18" i="45"/>
  <c r="I17" i="45"/>
  <c r="F17" i="45"/>
  <c r="I16" i="45"/>
  <c r="F16" i="45"/>
  <c r="I15" i="45"/>
  <c r="F15" i="45"/>
  <c r="F14" i="45"/>
  <c r="F31" i="44"/>
  <c r="F11" i="44"/>
  <c r="F10" i="44"/>
  <c r="F9" i="44"/>
  <c r="F8" i="44"/>
  <c r="F7" i="44"/>
  <c r="F6" i="44"/>
  <c r="F5" i="44"/>
  <c r="F4" i="44"/>
  <c r="F3" i="44"/>
  <c r="F30" i="44"/>
  <c r="F29" i="44"/>
  <c r="F26" i="44"/>
  <c r="F25" i="44"/>
  <c r="F24" i="44"/>
  <c r="F23" i="44"/>
  <c r="F22" i="44"/>
  <c r="F21" i="44"/>
  <c r="I20" i="44"/>
  <c r="F20" i="44"/>
  <c r="I19" i="44"/>
  <c r="F19" i="44"/>
  <c r="I18" i="44"/>
  <c r="F18" i="44"/>
  <c r="I17" i="44"/>
  <c r="F17" i="44"/>
  <c r="I16" i="44"/>
  <c r="F16" i="44"/>
  <c r="I15" i="44"/>
  <c r="F15" i="44"/>
  <c r="F14" i="44"/>
  <c r="F31" i="43"/>
  <c r="F11" i="43"/>
  <c r="F10" i="43"/>
  <c r="F9" i="43"/>
  <c r="F8" i="43"/>
  <c r="F7" i="43"/>
  <c r="F6" i="43"/>
  <c r="F5" i="43"/>
  <c r="F4" i="43"/>
  <c r="F3" i="43"/>
  <c r="F31" i="42"/>
  <c r="F11" i="42"/>
  <c r="F10" i="42"/>
  <c r="F9" i="42"/>
  <c r="F8" i="42"/>
  <c r="F7" i="42"/>
  <c r="F6" i="42"/>
  <c r="F5" i="42"/>
  <c r="F4" i="42"/>
  <c r="F3" i="42"/>
  <c r="F30" i="43"/>
  <c r="F29" i="43"/>
  <c r="F26" i="43"/>
  <c r="F25" i="43"/>
  <c r="F24" i="43"/>
  <c r="F23" i="43"/>
  <c r="F22" i="43"/>
  <c r="F21" i="43"/>
  <c r="I20" i="43"/>
  <c r="F20" i="43"/>
  <c r="I19" i="43"/>
  <c r="F19" i="43"/>
  <c r="I18" i="43"/>
  <c r="F18" i="43"/>
  <c r="I17" i="43"/>
  <c r="F17" i="43"/>
  <c r="I16" i="43"/>
  <c r="F16" i="43"/>
  <c r="I15" i="43"/>
  <c r="F15" i="43"/>
  <c r="F14" i="43"/>
  <c r="F30" i="42"/>
  <c r="F29" i="42"/>
  <c r="F26" i="42"/>
  <c r="F25" i="42"/>
  <c r="F24" i="42"/>
  <c r="F23" i="42"/>
  <c r="F22" i="42"/>
  <c r="F21" i="42"/>
  <c r="I20" i="42"/>
  <c r="F20" i="42"/>
  <c r="I19" i="42"/>
  <c r="F19" i="42"/>
  <c r="I18" i="42"/>
  <c r="F18" i="42"/>
  <c r="I17" i="42"/>
  <c r="F17" i="42"/>
  <c r="I16" i="42"/>
  <c r="F16" i="42"/>
  <c r="I15" i="42"/>
  <c r="F15" i="42"/>
  <c r="F14" i="42"/>
  <c r="F31" i="41"/>
  <c r="F31" i="8"/>
  <c r="F30" i="8"/>
  <c r="F29" i="8"/>
  <c r="F30" i="41"/>
  <c r="F29" i="41"/>
  <c r="F11" i="41"/>
  <c r="F10" i="41"/>
  <c r="F9" i="41"/>
  <c r="F8" i="41"/>
  <c r="F7" i="41"/>
  <c r="F6" i="41"/>
  <c r="F5" i="41"/>
  <c r="F4" i="8"/>
  <c r="F5" i="8"/>
  <c r="F6" i="8"/>
  <c r="F7" i="8"/>
  <c r="F8" i="8"/>
  <c r="F9" i="8"/>
  <c r="F10" i="8"/>
  <c r="F11" i="8"/>
  <c r="F3" i="8"/>
  <c r="F4" i="41"/>
  <c r="F3" i="41"/>
  <c r="F26" i="41"/>
  <c r="F25" i="41"/>
  <c r="F24" i="41"/>
  <c r="F23" i="41"/>
  <c r="F22" i="41"/>
  <c r="F21" i="41"/>
  <c r="I20" i="41"/>
  <c r="F20" i="41"/>
  <c r="I19" i="41"/>
  <c r="F19" i="41"/>
  <c r="I18" i="41"/>
  <c r="F18" i="41"/>
  <c r="I17" i="41"/>
  <c r="F17" i="41"/>
  <c r="I16" i="41"/>
  <c r="F16" i="41"/>
  <c r="I15" i="41"/>
  <c r="F15" i="41"/>
  <c r="F14" i="41"/>
  <c r="F28" i="38"/>
  <c r="F27" i="38"/>
  <c r="F26" i="38"/>
  <c r="F25" i="38"/>
  <c r="F24" i="38"/>
  <c r="F23" i="38"/>
  <c r="I22" i="38"/>
  <c r="F22" i="38"/>
  <c r="I21" i="38"/>
  <c r="F21" i="38"/>
  <c r="I20" i="38"/>
  <c r="F20" i="38"/>
  <c r="I19" i="38"/>
  <c r="F19" i="38"/>
  <c r="I18" i="38"/>
  <c r="F18" i="38"/>
  <c r="I17" i="38"/>
  <c r="F17" i="38"/>
  <c r="F31" i="40"/>
  <c r="F11" i="40"/>
  <c r="F10" i="40"/>
  <c r="F9" i="40"/>
  <c r="F8" i="40"/>
  <c r="F7" i="40"/>
  <c r="F6" i="40"/>
  <c r="F5" i="40"/>
  <c r="F3" i="40"/>
  <c r="F4" i="40"/>
  <c r="F30" i="40"/>
  <c r="F29" i="40"/>
  <c r="F26" i="40"/>
  <c r="F25" i="40"/>
  <c r="F24" i="40"/>
  <c r="F23" i="40"/>
  <c r="F22" i="40"/>
  <c r="F21" i="40"/>
  <c r="I20" i="40"/>
  <c r="F20" i="40"/>
  <c r="I19" i="40"/>
  <c r="F19" i="40"/>
  <c r="I18" i="40"/>
  <c r="F18" i="40"/>
  <c r="I17" i="40"/>
  <c r="F17" i="40"/>
  <c r="I16" i="40"/>
  <c r="F16" i="40"/>
  <c r="I15" i="40"/>
  <c r="F15" i="40"/>
  <c r="F14" i="40"/>
  <c r="F28" i="39"/>
  <c r="F27" i="39"/>
  <c r="F26" i="39"/>
  <c r="F25" i="39"/>
  <c r="F24" i="39"/>
  <c r="F23" i="39"/>
  <c r="I22" i="39"/>
  <c r="F22" i="39"/>
  <c r="I21" i="39"/>
  <c r="F21" i="39"/>
  <c r="I20" i="39"/>
  <c r="F20" i="39"/>
  <c r="I19" i="39"/>
  <c r="F19" i="39"/>
  <c r="I18" i="39"/>
  <c r="F18" i="39"/>
  <c r="I17" i="39"/>
  <c r="F17" i="39"/>
  <c r="F33" i="39"/>
  <c r="F13" i="39"/>
  <c r="F12" i="39"/>
  <c r="F11" i="39"/>
  <c r="F10" i="39"/>
  <c r="F9" i="39"/>
  <c r="F8" i="39"/>
  <c r="F7" i="39"/>
  <c r="F6" i="39"/>
  <c r="F5" i="39"/>
  <c r="F32" i="39"/>
  <c r="F31" i="39"/>
  <c r="F16" i="39"/>
  <c r="F32" i="38"/>
  <c r="F31" i="38"/>
  <c r="F33" i="38"/>
  <c r="F13" i="38"/>
  <c r="F12" i="38"/>
  <c r="F11" i="38"/>
  <c r="F10" i="38"/>
  <c r="F9" i="38"/>
  <c r="F8" i="38"/>
  <c r="F7" i="38"/>
  <c r="F6" i="38"/>
  <c r="F5" i="38"/>
  <c r="F16" i="38"/>
  <c r="F4" i="37"/>
  <c r="F31" i="37"/>
  <c r="F11" i="37"/>
  <c r="F10" i="37"/>
  <c r="F9" i="37"/>
  <c r="F7" i="37"/>
  <c r="F8" i="37"/>
  <c r="F6" i="37"/>
  <c r="F5" i="37"/>
  <c r="F3" i="37"/>
  <c r="F30" i="37"/>
  <c r="F29" i="37"/>
  <c r="F26" i="37"/>
  <c r="F25" i="37"/>
  <c r="F24" i="37"/>
  <c r="F23" i="37"/>
  <c r="F22" i="37"/>
  <c r="F21" i="37"/>
  <c r="I20" i="37"/>
  <c r="F20" i="37"/>
  <c r="I19" i="37"/>
  <c r="F19" i="37"/>
  <c r="I18" i="37"/>
  <c r="F18" i="37"/>
  <c r="I17" i="37"/>
  <c r="F17" i="37"/>
  <c r="I16" i="37"/>
  <c r="F16" i="37"/>
  <c r="I15" i="37"/>
  <c r="F15" i="37"/>
  <c r="F14" i="37"/>
  <c r="F31" i="36"/>
  <c r="F11" i="36"/>
  <c r="F10" i="36"/>
  <c r="F9" i="36"/>
  <c r="F8" i="36"/>
  <c r="F7" i="36"/>
  <c r="F6" i="36"/>
  <c r="F5" i="36"/>
  <c r="F4" i="36"/>
  <c r="F3" i="36"/>
  <c r="F30" i="36"/>
  <c r="F29" i="36"/>
  <c r="F26" i="36"/>
  <c r="F25" i="36"/>
  <c r="F24" i="36"/>
  <c r="F23" i="36"/>
  <c r="F22" i="36"/>
  <c r="F21" i="36"/>
  <c r="I20" i="36"/>
  <c r="F20" i="36"/>
  <c r="I19" i="36"/>
  <c r="F19" i="36"/>
  <c r="I18" i="36"/>
  <c r="F18" i="36"/>
  <c r="I17" i="36"/>
  <c r="F17" i="36"/>
  <c r="I16" i="36"/>
  <c r="F16" i="36"/>
  <c r="I15" i="36"/>
  <c r="F15" i="36"/>
  <c r="F14" i="36"/>
  <c r="F31" i="35"/>
  <c r="F34" i="34"/>
  <c r="F30" i="35"/>
  <c r="F29" i="35"/>
  <c r="F33" i="34"/>
  <c r="F32" i="34"/>
  <c r="F4" i="35"/>
  <c r="F11" i="35"/>
  <c r="F10" i="35"/>
  <c r="F9" i="35"/>
  <c r="F8" i="35"/>
  <c r="F7" i="35"/>
  <c r="F6" i="35"/>
  <c r="F5" i="35"/>
  <c r="F3" i="35"/>
  <c r="F26" i="35"/>
  <c r="F25" i="35"/>
  <c r="F24" i="35"/>
  <c r="F23" i="35"/>
  <c r="F22" i="35"/>
  <c r="F21" i="35"/>
  <c r="I20" i="35"/>
  <c r="F20" i="35"/>
  <c r="I19" i="35"/>
  <c r="F19" i="35"/>
  <c r="I18" i="35"/>
  <c r="F18" i="35"/>
  <c r="I17" i="35"/>
  <c r="F17" i="35"/>
  <c r="I16" i="35"/>
  <c r="F16" i="35"/>
  <c r="I15" i="35"/>
  <c r="F15" i="35"/>
  <c r="F14" i="35"/>
  <c r="F14" i="34"/>
  <c r="F13" i="34"/>
  <c r="F12" i="34"/>
  <c r="F11" i="34"/>
  <c r="F10" i="34"/>
  <c r="F9" i="34"/>
  <c r="F8" i="34"/>
  <c r="F7" i="34"/>
  <c r="F6" i="34"/>
  <c r="F29" i="34"/>
  <c r="F28" i="34"/>
  <c r="F27" i="34"/>
  <c r="F26" i="34"/>
  <c r="F25" i="34"/>
  <c r="F24" i="34"/>
  <c r="I23" i="34"/>
  <c r="F23" i="34"/>
  <c r="I22" i="34"/>
  <c r="F22" i="34"/>
  <c r="I21" i="34"/>
  <c r="F21" i="34"/>
  <c r="I20" i="34"/>
  <c r="F20" i="34"/>
  <c r="I19" i="34"/>
  <c r="F19" i="34"/>
  <c r="I18" i="34"/>
  <c r="F18" i="34"/>
  <c r="F17" i="34"/>
  <c r="F16" i="33"/>
  <c r="F11" i="33"/>
  <c r="F10" i="33"/>
  <c r="F9" i="33"/>
  <c r="F8" i="33"/>
  <c r="F7" i="33"/>
  <c r="F6" i="33"/>
  <c r="F5" i="33"/>
  <c r="F4" i="33"/>
  <c r="F3" i="33"/>
  <c r="F15" i="33"/>
  <c r="F14" i="33"/>
  <c r="F16" i="32"/>
  <c r="F11" i="32"/>
  <c r="F10" i="32"/>
  <c r="F9" i="32"/>
  <c r="F8" i="32"/>
  <c r="F7" i="32"/>
  <c r="F6" i="32"/>
  <c r="F5" i="32"/>
  <c r="F4" i="32"/>
  <c r="F3" i="32"/>
  <c r="F15" i="32"/>
  <c r="F14" i="32"/>
  <c r="F4" i="31"/>
  <c r="F16" i="31"/>
  <c r="F11" i="31"/>
  <c r="F10" i="31"/>
  <c r="F9" i="31"/>
  <c r="F8" i="31"/>
  <c r="F7" i="31"/>
  <c r="F6" i="31"/>
  <c r="F5" i="31"/>
  <c r="F3" i="31"/>
  <c r="F15" i="31"/>
  <c r="F14" i="31"/>
  <c r="F13" i="30"/>
  <c r="F12" i="30"/>
  <c r="F11" i="30"/>
  <c r="F10" i="30"/>
  <c r="F9" i="30"/>
  <c r="F8" i="30"/>
  <c r="F7" i="30"/>
  <c r="F6" i="30"/>
  <c r="F5" i="30"/>
  <c r="F18" i="30"/>
  <c r="F17" i="30"/>
  <c r="F16" i="30"/>
  <c r="F18" i="13"/>
  <c r="F13" i="14"/>
  <c r="F12" i="14"/>
  <c r="F11" i="14"/>
  <c r="F10" i="14"/>
  <c r="F9" i="14"/>
  <c r="F8" i="14"/>
  <c r="F7" i="14"/>
  <c r="F3" i="14"/>
  <c r="F13" i="12"/>
  <c r="F12" i="12"/>
  <c r="F11" i="12"/>
  <c r="F10" i="12"/>
  <c r="F9" i="12"/>
  <c r="F8" i="12"/>
  <c r="F7" i="12"/>
  <c r="F3" i="12"/>
  <c r="F13" i="13"/>
  <c r="F12" i="13"/>
  <c r="F11" i="13"/>
  <c r="F10" i="13"/>
  <c r="F9" i="13"/>
  <c r="F8" i="13"/>
  <c r="F7" i="13"/>
  <c r="F3" i="13"/>
  <c r="F13" i="5"/>
  <c r="F12" i="5"/>
  <c r="F11" i="5"/>
  <c r="F10" i="5"/>
  <c r="F8" i="5"/>
  <c r="F9" i="5"/>
  <c r="F7" i="5"/>
  <c r="F3" i="5"/>
  <c r="F13" i="4"/>
  <c r="F12" i="4"/>
  <c r="F11" i="4"/>
  <c r="F10" i="4"/>
  <c r="F9" i="4"/>
  <c r="F8" i="4"/>
  <c r="F7" i="4"/>
  <c r="F3" i="4"/>
  <c r="F13" i="2"/>
  <c r="F12" i="2"/>
  <c r="F11" i="2"/>
  <c r="F10" i="2"/>
  <c r="F9" i="2"/>
  <c r="F8" i="2"/>
  <c r="F7" i="2"/>
  <c r="F3" i="2"/>
  <c r="F13" i="6"/>
  <c r="F12" i="6"/>
  <c r="F11" i="6"/>
  <c r="F10" i="6"/>
  <c r="F9" i="6"/>
  <c r="F8" i="6"/>
  <c r="F7" i="6"/>
  <c r="F3" i="6"/>
  <c r="F13" i="7"/>
  <c r="F12" i="7"/>
  <c r="F11" i="7"/>
  <c r="F10" i="7"/>
  <c r="F9" i="7"/>
  <c r="F8" i="7"/>
  <c r="F7" i="7"/>
  <c r="F3" i="7"/>
  <c r="F16" i="29"/>
  <c r="F15" i="29"/>
  <c r="F14" i="29"/>
  <c r="F11" i="29"/>
  <c r="F10" i="29"/>
  <c r="F9" i="29"/>
  <c r="F8" i="29"/>
  <c r="F7" i="29"/>
  <c r="F6" i="29"/>
  <c r="F5" i="29"/>
  <c r="F4" i="29"/>
  <c r="F3" i="29"/>
  <c r="F16" i="28"/>
  <c r="F15" i="28"/>
  <c r="F14" i="28"/>
  <c r="F11" i="28"/>
  <c r="F10" i="28"/>
  <c r="F9" i="28"/>
  <c r="F8" i="28"/>
  <c r="F7" i="28"/>
  <c r="F6" i="28"/>
  <c r="F5" i="28"/>
  <c r="F4" i="28"/>
  <c r="F3" i="28"/>
  <c r="F16" i="27"/>
  <c r="F15" i="27"/>
  <c r="F14" i="27"/>
  <c r="F11" i="27"/>
  <c r="F10" i="27"/>
  <c r="F9" i="27"/>
  <c r="F8" i="27"/>
  <c r="F7" i="27"/>
  <c r="F6" i="27"/>
  <c r="F5" i="27"/>
  <c r="F4" i="27"/>
  <c r="F3" i="27"/>
  <c r="F16" i="26"/>
  <c r="F15" i="26"/>
  <c r="F14" i="26"/>
  <c r="F11" i="26"/>
  <c r="F10" i="26"/>
  <c r="F9" i="26"/>
  <c r="F8" i="26"/>
  <c r="F7" i="26"/>
  <c r="F6" i="26"/>
  <c r="F5" i="26"/>
  <c r="F4" i="26"/>
  <c r="F3" i="26"/>
  <c r="F16" i="25"/>
  <c r="F15" i="25"/>
  <c r="F14" i="25"/>
  <c r="F11" i="25"/>
  <c r="F10" i="25"/>
  <c r="F9" i="25"/>
  <c r="F8" i="25"/>
  <c r="F7" i="25"/>
  <c r="F6" i="25"/>
  <c r="F5" i="25"/>
  <c r="F4" i="25"/>
  <c r="F3" i="25"/>
  <c r="F16" i="24"/>
  <c r="F15" i="24"/>
  <c r="F14" i="24"/>
  <c r="F11" i="24"/>
  <c r="F10" i="24"/>
  <c r="F9" i="24"/>
  <c r="F8" i="24"/>
  <c r="F7" i="24"/>
  <c r="F6" i="24"/>
  <c r="F5" i="24"/>
  <c r="F4" i="24"/>
  <c r="F3" i="24"/>
  <c r="F18" i="23"/>
  <c r="F17" i="23"/>
  <c r="F16" i="23"/>
  <c r="F13" i="23"/>
  <c r="F12" i="23"/>
  <c r="F11" i="23"/>
  <c r="F10" i="23"/>
  <c r="F9" i="23"/>
  <c r="F8" i="23"/>
  <c r="F7" i="23"/>
  <c r="F6" i="23"/>
  <c r="F5" i="23"/>
  <c r="F16" i="22"/>
  <c r="F15" i="22"/>
  <c r="F14" i="22"/>
  <c r="F11" i="22"/>
  <c r="F10" i="22"/>
  <c r="F9" i="22"/>
  <c r="F8" i="22"/>
  <c r="F7" i="22"/>
  <c r="F6" i="22"/>
  <c r="F5" i="22"/>
  <c r="F4" i="22"/>
  <c r="F3" i="22"/>
  <c r="F18" i="21"/>
  <c r="F17" i="21"/>
  <c r="F16" i="21"/>
  <c r="F13" i="21"/>
  <c r="F12" i="21"/>
  <c r="F11" i="21"/>
  <c r="F10" i="21"/>
  <c r="F9" i="21"/>
  <c r="F8" i="21"/>
  <c r="F7" i="21"/>
  <c r="F6" i="21"/>
  <c r="F5" i="21"/>
  <c r="F11" i="20"/>
  <c r="F10" i="20"/>
  <c r="F9" i="20"/>
  <c r="F8" i="20"/>
  <c r="F7" i="20"/>
  <c r="F6" i="20"/>
  <c r="F5" i="20"/>
  <c r="F4" i="20"/>
  <c r="F3" i="20"/>
  <c r="F11" i="19"/>
  <c r="F10" i="19"/>
  <c r="F9" i="19"/>
  <c r="F8" i="19"/>
  <c r="F7" i="19"/>
  <c r="F6" i="19"/>
  <c r="F5" i="19"/>
  <c r="F4" i="19"/>
  <c r="F3" i="19"/>
  <c r="F11" i="18"/>
  <c r="F10" i="18"/>
  <c r="F9" i="18"/>
  <c r="F8" i="18"/>
  <c r="F7" i="18"/>
  <c r="F6" i="18"/>
  <c r="F5" i="18"/>
  <c r="F4" i="18"/>
  <c r="F3" i="18"/>
  <c r="F11" i="17"/>
  <c r="F10" i="17"/>
  <c r="F9" i="17"/>
  <c r="F8" i="17"/>
  <c r="F7" i="17"/>
  <c r="F6" i="17"/>
  <c r="F5" i="17"/>
  <c r="F4" i="17"/>
  <c r="F3" i="17"/>
  <c r="F11" i="16"/>
  <c r="F10" i="16"/>
  <c r="F9" i="16"/>
  <c r="F8" i="16"/>
  <c r="F7" i="16"/>
  <c r="F6" i="16"/>
  <c r="F5" i="16"/>
  <c r="F4" i="16"/>
  <c r="F3" i="16"/>
  <c r="F11" i="15"/>
  <c r="F10" i="15"/>
  <c r="F9" i="15"/>
  <c r="F8" i="15"/>
  <c r="F7" i="15"/>
  <c r="F6" i="15"/>
  <c r="F5" i="15"/>
  <c r="F4" i="15"/>
  <c r="F3" i="15"/>
  <c r="F6" i="14"/>
  <c r="F5" i="14"/>
  <c r="F4" i="14"/>
  <c r="F6" i="12"/>
  <c r="F5" i="12"/>
  <c r="F4" i="12"/>
  <c r="F6" i="13"/>
  <c r="F5" i="13"/>
  <c r="F4" i="13"/>
  <c r="F6" i="5"/>
  <c r="F5" i="5"/>
  <c r="F4" i="5"/>
  <c r="F6" i="4"/>
  <c r="F5" i="4"/>
  <c r="F4" i="4"/>
  <c r="F6" i="2"/>
  <c r="F5" i="2"/>
  <c r="F4" i="2"/>
  <c r="F6" i="6"/>
  <c r="F5" i="6"/>
  <c r="F4" i="6"/>
  <c r="F6" i="7"/>
  <c r="F5" i="7"/>
  <c r="F4" i="7"/>
  <c r="F13" i="3"/>
  <c r="F12" i="3"/>
  <c r="F11" i="3"/>
  <c r="F10" i="3"/>
  <c r="F9" i="3"/>
  <c r="F8" i="3"/>
  <c r="F7" i="3"/>
  <c r="F6" i="3"/>
  <c r="F5" i="3"/>
  <c r="F4" i="3"/>
  <c r="F3" i="3"/>
  <c r="F13" i="1"/>
  <c r="F12" i="1"/>
  <c r="F11" i="1"/>
  <c r="F10" i="1"/>
  <c r="F9" i="1"/>
  <c r="F8" i="1"/>
  <c r="F7" i="1"/>
  <c r="F6" i="1"/>
  <c r="F5" i="1"/>
  <c r="F4" i="1"/>
  <c r="F3" i="1"/>
  <c r="F13" i="9"/>
  <c r="F12" i="9"/>
  <c r="F11" i="9"/>
  <c r="F10" i="9"/>
  <c r="F9" i="9"/>
  <c r="F8" i="9"/>
  <c r="F7" i="9"/>
  <c r="F6" i="9"/>
  <c r="F5" i="9"/>
  <c r="F4" i="9"/>
  <c r="F3" i="9"/>
  <c r="F13" i="10"/>
  <c r="F12" i="10"/>
  <c r="F11" i="10"/>
  <c r="F10" i="10"/>
  <c r="F9" i="10"/>
  <c r="F8" i="10"/>
  <c r="F7" i="10"/>
  <c r="F6" i="10"/>
  <c r="F5" i="10"/>
  <c r="F4" i="10"/>
  <c r="F3" i="10"/>
  <c r="F3" i="11"/>
  <c r="F7" i="11"/>
</calcChain>
</file>

<file path=xl/sharedStrings.xml><?xml version="1.0" encoding="utf-8"?>
<sst xmlns="http://schemas.openxmlformats.org/spreadsheetml/2006/main" count="9490" uniqueCount="2391">
  <si>
    <t>西日本</t>
    <rPh sb="0" eb="1">
      <t>ニシ</t>
    </rPh>
    <rPh sb="1" eb="3">
      <t>ニホン</t>
    </rPh>
    <phoneticPr fontId="1"/>
  </si>
  <si>
    <t>妖怪</t>
    <rPh sb="0" eb="2">
      <t>ヨウカイ</t>
    </rPh>
    <phoneticPr fontId="1"/>
  </si>
  <si>
    <t>全国</t>
    <rPh sb="0" eb="2">
      <t>ゼンコク</t>
    </rPh>
    <phoneticPr fontId="1"/>
  </si>
  <si>
    <t>飲食</t>
    <rPh sb="0" eb="2">
      <t>インショク</t>
    </rPh>
    <phoneticPr fontId="1"/>
  </si>
  <si>
    <t>SR</t>
    <phoneticPr fontId="1"/>
  </si>
  <si>
    <t>東日本</t>
    <rPh sb="0" eb="1">
      <t>ヒガシ</t>
    </rPh>
    <rPh sb="1" eb="3">
      <t>ニホン</t>
    </rPh>
    <phoneticPr fontId="1"/>
  </si>
  <si>
    <t>中部</t>
    <phoneticPr fontId="1"/>
  </si>
  <si>
    <t>妖怪</t>
    <phoneticPr fontId="1"/>
  </si>
  <si>
    <t>中国・四国</t>
    <phoneticPr fontId="1"/>
  </si>
  <si>
    <t>栃木</t>
    <phoneticPr fontId="1"/>
  </si>
  <si>
    <t>HR</t>
    <phoneticPr fontId="1"/>
  </si>
  <si>
    <t>タイプ偉人・名物の防25％UP</t>
    <phoneticPr fontId="1"/>
  </si>
  <si>
    <t>九州・沖縄</t>
    <phoneticPr fontId="1"/>
  </si>
  <si>
    <t>R</t>
    <phoneticPr fontId="1"/>
  </si>
  <si>
    <t>タイプ【偉人】の防25％UP</t>
    <phoneticPr fontId="1"/>
  </si>
  <si>
    <t>青森</t>
    <phoneticPr fontId="1"/>
  </si>
  <si>
    <t>15,14,14,13</t>
    <phoneticPr fontId="1"/>
  </si>
  <si>
    <t>16,14,14,13,12</t>
    <phoneticPr fontId="1"/>
  </si>
  <si>
    <t>15,13,12,11,11,9</t>
    <phoneticPr fontId="1"/>
  </si>
  <si>
    <t>13,11,11,11</t>
    <phoneticPr fontId="1"/>
  </si>
  <si>
    <t>売13+11+11 売11</t>
    <rPh sb="0" eb="1">
      <t>ウ</t>
    </rPh>
    <rPh sb="10" eb="11">
      <t>ウ</t>
    </rPh>
    <phoneticPr fontId="1"/>
  </si>
  <si>
    <t>15+13+(14+14)</t>
    <phoneticPr fontId="1"/>
  </si>
  <si>
    <t>レア度</t>
    <rPh sb="2" eb="3">
      <t>ド</t>
    </rPh>
    <phoneticPr fontId="1"/>
  </si>
  <si>
    <t>所属</t>
    <rPh sb="0" eb="2">
      <t>ショゾク</t>
    </rPh>
    <phoneticPr fontId="1"/>
  </si>
  <si>
    <t>タイプ</t>
    <phoneticPr fontId="1"/>
  </si>
  <si>
    <t>隊士名</t>
    <rPh sb="0" eb="2">
      <t>タイシ</t>
    </rPh>
    <rPh sb="2" eb="3">
      <t>メイ</t>
    </rPh>
    <phoneticPr fontId="1"/>
  </si>
  <si>
    <t>獲得</t>
    <rPh sb="0" eb="2">
      <t>カクトク</t>
    </rPh>
    <phoneticPr fontId="1"/>
  </si>
  <si>
    <t>進化</t>
    <rPh sb="0" eb="2">
      <t>シンカ</t>
    </rPh>
    <phoneticPr fontId="1"/>
  </si>
  <si>
    <t>コスト</t>
    <phoneticPr fontId="1"/>
  </si>
  <si>
    <t>MAX攻</t>
    <rPh sb="3" eb="4">
      <t>コウ</t>
    </rPh>
    <phoneticPr fontId="1"/>
  </si>
  <si>
    <t>MAX防</t>
    <rPh sb="3" eb="4">
      <t>ボウ</t>
    </rPh>
    <phoneticPr fontId="1"/>
  </si>
  <si>
    <t>スキル名</t>
    <rPh sb="3" eb="4">
      <t>メイ</t>
    </rPh>
    <phoneticPr fontId="1"/>
  </si>
  <si>
    <t>近畿</t>
    <rPh sb="0" eb="2">
      <t>キンキ</t>
    </rPh>
    <phoneticPr fontId="1"/>
  </si>
  <si>
    <t>神秘</t>
    <rPh sb="0" eb="2">
      <t>シンピ</t>
    </rPh>
    <phoneticPr fontId="1"/>
  </si>
  <si>
    <t>七三峠</t>
    <rPh sb="0" eb="2">
      <t>シチサン</t>
    </rPh>
    <rPh sb="2" eb="3">
      <t>トウゲ</t>
    </rPh>
    <phoneticPr fontId="1"/>
  </si>
  <si>
    <t>17,13,12,11,11,9</t>
    <phoneticPr fontId="1"/>
  </si>
  <si>
    <t>17+11+(13+12),9,11</t>
    <phoneticPr fontId="1"/>
  </si>
  <si>
    <t>しちさんとうげ</t>
    <phoneticPr fontId="1"/>
  </si>
  <si>
    <t>棄てられた世界</t>
    <rPh sb="0" eb="1">
      <t>ス</t>
    </rPh>
    <rPh sb="5" eb="7">
      <t>セカイ</t>
    </rPh>
    <phoneticPr fontId="1"/>
  </si>
  <si>
    <t>タイプ神秘・知性派・飲食の攻35％UP</t>
    <phoneticPr fontId="1"/>
  </si>
  <si>
    <t>武人</t>
    <rPh sb="0" eb="2">
      <t>ブジン</t>
    </rPh>
    <phoneticPr fontId="1"/>
  </si>
  <si>
    <t>タイプ姫・伝承の防20％UP</t>
    <phoneticPr fontId="1"/>
  </si>
  <si>
    <t>北海道・東北</t>
    <rPh sb="0" eb="3">
      <t>ホッカイドウ</t>
    </rPh>
    <rPh sb="4" eb="6">
      <t>トウホク</t>
    </rPh>
    <phoneticPr fontId="1"/>
  </si>
  <si>
    <t>サービス全開☆デカ盛りスープまみれ</t>
    <phoneticPr fontId="1"/>
  </si>
  <si>
    <t>対刀の心得</t>
    <phoneticPr fontId="1"/>
  </si>
  <si>
    <t>正義の一閃</t>
    <phoneticPr fontId="1"/>
  </si>
  <si>
    <t>天クロの四英傑</t>
    <phoneticPr fontId="1"/>
  </si>
  <si>
    <t>お好みマウンテン！</t>
    <phoneticPr fontId="1"/>
  </si>
  <si>
    <t>おおばんぶるまい！！</t>
    <phoneticPr fontId="1"/>
  </si>
  <si>
    <t>中部</t>
    <rPh sb="0" eb="2">
      <t>チュウブ</t>
    </rPh>
    <phoneticPr fontId="1"/>
  </si>
  <si>
    <t>三度変化する贅沢</t>
    <phoneticPr fontId="1"/>
  </si>
  <si>
    <t>タイプ神秘・知性派の防25％UP</t>
    <phoneticPr fontId="1"/>
  </si>
  <si>
    <t>七福に適いし祝い魚</t>
    <phoneticPr fontId="1"/>
  </si>
  <si>
    <t>飲食</t>
    <phoneticPr fontId="1"/>
  </si>
  <si>
    <t>栃木</t>
    <rPh sb="0" eb="2">
      <t>トチギ</t>
    </rPh>
    <phoneticPr fontId="1"/>
  </si>
  <si>
    <t>目に優しい小さな果実</t>
    <phoneticPr fontId="1"/>
  </si>
  <si>
    <t>タイプ【知性派】の攻25％UP</t>
    <phoneticPr fontId="1"/>
  </si>
  <si>
    <t>愛媛</t>
    <rPh sb="0" eb="2">
      <t>エヒメ</t>
    </rPh>
    <phoneticPr fontId="1"/>
  </si>
  <si>
    <t>日本騎兵の父</t>
    <phoneticPr fontId="1"/>
  </si>
  <si>
    <t>タイプ【伝承】の防25％UP</t>
    <phoneticPr fontId="1"/>
  </si>
  <si>
    <t>岩手</t>
    <rPh sb="0" eb="2">
      <t>イワテ</t>
    </rPh>
    <phoneticPr fontId="1"/>
  </si>
  <si>
    <t>名物</t>
    <rPh sb="0" eb="2">
      <t>メイブツ</t>
    </rPh>
    <phoneticPr fontId="1"/>
  </si>
  <si>
    <t>病を退けし自生花</t>
    <phoneticPr fontId="1"/>
  </si>
  <si>
    <t>タイプ【妖怪】の攻25％UP</t>
    <phoneticPr fontId="1"/>
  </si>
  <si>
    <t>13,10,9,8,7</t>
    <phoneticPr fontId="1"/>
  </si>
  <si>
    <t>処13+7+9 処10+8</t>
    <rPh sb="0" eb="1">
      <t>トコロ</t>
    </rPh>
    <rPh sb="8" eb="9">
      <t>トコロ</t>
    </rPh>
    <phoneticPr fontId="1"/>
  </si>
  <si>
    <t>16,13,13,12,12</t>
    <phoneticPr fontId="1"/>
  </si>
  <si>
    <t>14,13,13,13</t>
    <phoneticPr fontId="1"/>
  </si>
  <si>
    <t>鹿児島</t>
    <rPh sb="0" eb="3">
      <t>カゴシマ</t>
    </rPh>
    <phoneticPr fontId="1"/>
  </si>
  <si>
    <t>世界最硬食品</t>
    <phoneticPr fontId="1"/>
  </si>
  <si>
    <t>タイプ【知性派】の防25％UP</t>
    <phoneticPr fontId="1"/>
  </si>
  <si>
    <t>一揆鎮圧の立役者</t>
    <phoneticPr fontId="1"/>
  </si>
  <si>
    <t>タイプ【姫】の攻25％UP</t>
    <phoneticPr fontId="1"/>
  </si>
  <si>
    <t>血のように赤い手</t>
    <phoneticPr fontId="1"/>
  </si>
  <si>
    <t>敵討ちのための血爪</t>
    <phoneticPr fontId="1"/>
  </si>
  <si>
    <t>三大妖怪の威厳</t>
    <phoneticPr fontId="1"/>
  </si>
  <si>
    <t>生き血を求めて</t>
    <phoneticPr fontId="1"/>
  </si>
  <si>
    <t>槐の祟り</t>
    <phoneticPr fontId="1"/>
  </si>
  <si>
    <t>生卵派と焼き卵派の白熱トーク</t>
    <phoneticPr fontId="1"/>
  </si>
  <si>
    <t>和洋折衷の卵料理</t>
    <phoneticPr fontId="1"/>
  </si>
  <si>
    <t>おいしい卵を召し上がれ</t>
    <phoneticPr fontId="1"/>
  </si>
  <si>
    <t>その姿に化かされて</t>
    <phoneticPr fontId="1"/>
  </si>
  <si>
    <t>処15+9+11 処13+11 処12</t>
    <rPh sb="0" eb="1">
      <t>トコロ</t>
    </rPh>
    <rPh sb="9" eb="10">
      <t>トコロ</t>
    </rPh>
    <rPh sb="16" eb="17">
      <t>トコロ</t>
    </rPh>
    <phoneticPr fontId="1"/>
  </si>
  <si>
    <t>処13+11+11 処11</t>
    <rPh sb="0" eb="1">
      <t>トコロ</t>
    </rPh>
    <rPh sb="10" eb="11">
      <t>トコロ</t>
    </rPh>
    <phoneticPr fontId="1"/>
  </si>
  <si>
    <t>処16+12+13 処14+14</t>
    <rPh sb="0" eb="1">
      <t>トコロ</t>
    </rPh>
    <rPh sb="10" eb="11">
      <t>トコロ</t>
    </rPh>
    <phoneticPr fontId="1"/>
  </si>
  <si>
    <t>海難法師</t>
    <rPh sb="0" eb="2">
      <t>カイナン</t>
    </rPh>
    <rPh sb="2" eb="4">
      <t>ホウシ</t>
    </rPh>
    <phoneticPr fontId="1"/>
  </si>
  <si>
    <t>かいなんほうし</t>
    <phoneticPr fontId="1"/>
  </si>
  <si>
    <t>20,17,15,15</t>
    <phoneticPr fontId="1"/>
  </si>
  <si>
    <t>西日本</t>
    <phoneticPr fontId="1"/>
  </si>
  <si>
    <t>熊野神社の神舞</t>
    <rPh sb="0" eb="2">
      <t>クマノ</t>
    </rPh>
    <rPh sb="2" eb="4">
      <t>ジンジャ</t>
    </rPh>
    <rPh sb="5" eb="6">
      <t>カミ</t>
    </rPh>
    <rPh sb="6" eb="7">
      <t>マイ</t>
    </rPh>
    <phoneticPr fontId="1"/>
  </si>
  <si>
    <t>伝承</t>
    <phoneticPr fontId="1"/>
  </si>
  <si>
    <t>太神之神楽</t>
    <phoneticPr fontId="1"/>
  </si>
  <si>
    <t>全国</t>
    <phoneticPr fontId="1"/>
  </si>
  <si>
    <t>名物</t>
    <phoneticPr fontId="1"/>
  </si>
  <si>
    <t>最後の楽園</t>
    <phoneticPr fontId="1"/>
  </si>
  <si>
    <t>東日本</t>
    <phoneticPr fontId="1"/>
  </si>
  <si>
    <t>雄大な景観</t>
    <phoneticPr fontId="1"/>
  </si>
  <si>
    <t>ノスタルジックな大自然</t>
    <phoneticPr fontId="1"/>
  </si>
  <si>
    <t>北海道・東北</t>
    <phoneticPr fontId="1"/>
  </si>
  <si>
    <t>牛乗りくも舞</t>
    <phoneticPr fontId="1"/>
  </si>
  <si>
    <t>スサノオ招来</t>
    <phoneticPr fontId="1"/>
  </si>
  <si>
    <t>船引神楽</t>
    <phoneticPr fontId="1"/>
  </si>
  <si>
    <t>作祈祷神楽</t>
    <phoneticPr fontId="1"/>
  </si>
  <si>
    <t>関東</t>
    <phoneticPr fontId="1"/>
  </si>
  <si>
    <t>[新生]天の鳥船</t>
    <phoneticPr fontId="1"/>
  </si>
  <si>
    <t>空を飛ぶ神運びの船</t>
    <phoneticPr fontId="1"/>
  </si>
  <si>
    <t>[新生]十六谷の妻柳</t>
    <phoneticPr fontId="1"/>
  </si>
  <si>
    <t>舌を奪う美しい柳</t>
    <phoneticPr fontId="1"/>
  </si>
  <si>
    <t>タイプ【武人】の防25％UP</t>
    <phoneticPr fontId="1"/>
  </si>
  <si>
    <t>京都</t>
    <phoneticPr fontId="1"/>
  </si>
  <si>
    <t>[新生]【丑の刻参り】藁人形</t>
    <phoneticPr fontId="1"/>
  </si>
  <si>
    <t>藁にもすがる怨念</t>
    <phoneticPr fontId="1"/>
  </si>
  <si>
    <t>タイプ【武人】の攻25％UP</t>
    <phoneticPr fontId="1"/>
  </si>
  <si>
    <t>[新生]宇都宮忠綱</t>
    <phoneticPr fontId="1"/>
  </si>
  <si>
    <t>武人</t>
    <phoneticPr fontId="1"/>
  </si>
  <si>
    <t>貫いた奪還軍事</t>
    <phoneticPr fontId="1"/>
  </si>
  <si>
    <t>高知</t>
    <phoneticPr fontId="1"/>
  </si>
  <si>
    <t>[新生]【剣道】坂本乙女</t>
    <phoneticPr fontId="1"/>
  </si>
  <si>
    <t>偉人</t>
    <phoneticPr fontId="1"/>
  </si>
  <si>
    <t>坂本仁王の剛剣</t>
    <phoneticPr fontId="1"/>
  </si>
  <si>
    <t>タイプ【名物】の攻25％UP</t>
    <phoneticPr fontId="1"/>
  </si>
  <si>
    <t>処8+6+7 処多数</t>
    <rPh sb="0" eb="1">
      <t>トコロ</t>
    </rPh>
    <rPh sb="7" eb="8">
      <t>トコロ</t>
    </rPh>
    <rPh sb="8" eb="10">
      <t>タスウ</t>
    </rPh>
    <phoneticPr fontId="1"/>
  </si>
  <si>
    <t>多数</t>
    <rPh sb="0" eb="2">
      <t>タスウ</t>
    </rPh>
    <phoneticPr fontId="1"/>
  </si>
  <si>
    <t>処10+10+10 処多数</t>
    <rPh sb="0" eb="1">
      <t>トコロ</t>
    </rPh>
    <rPh sb="10" eb="11">
      <t>トコロ</t>
    </rPh>
    <rPh sb="11" eb="13">
      <t>タスウ</t>
    </rPh>
    <phoneticPr fontId="1"/>
  </si>
  <si>
    <t>19,17,15,15</t>
    <phoneticPr fontId="1"/>
  </si>
  <si>
    <t>19,18,18,14,12</t>
    <phoneticPr fontId="1"/>
  </si>
  <si>
    <t>処13+8+9 処10+7</t>
    <rPh sb="0" eb="1">
      <t>トコロ</t>
    </rPh>
    <rPh sb="8" eb="9">
      <t>トコロ</t>
    </rPh>
    <phoneticPr fontId="1"/>
  </si>
  <si>
    <t>水難の怨み</t>
    <phoneticPr fontId="1"/>
  </si>
  <si>
    <t>姫</t>
    <phoneticPr fontId="1"/>
  </si>
  <si>
    <t>浜辺美女の乱</t>
    <phoneticPr fontId="1"/>
  </si>
  <si>
    <t>どちらがお好き？</t>
    <phoneticPr fontId="1"/>
  </si>
  <si>
    <t>潮湯治</t>
    <phoneticPr fontId="1"/>
  </si>
  <si>
    <t>鳳そう魚</t>
    <phoneticPr fontId="1"/>
  </si>
  <si>
    <t>変態魚</t>
    <phoneticPr fontId="1"/>
  </si>
  <si>
    <t>平家蟹</t>
    <phoneticPr fontId="1"/>
  </si>
  <si>
    <t>平家の亡霊</t>
    <phoneticPr fontId="1"/>
  </si>
  <si>
    <t>[新生]松川姫</t>
    <phoneticPr fontId="1"/>
  </si>
  <si>
    <t>その身に宿す因果応報</t>
    <phoneticPr fontId="1"/>
  </si>
  <si>
    <t>近畿</t>
    <phoneticPr fontId="1"/>
  </si>
  <si>
    <t>[新生]ほいほい火</t>
    <phoneticPr fontId="1"/>
  </si>
  <si>
    <t>訪れる彷徨い不幸</t>
    <phoneticPr fontId="1"/>
  </si>
  <si>
    <t>タイプ偉人・名物の攻25％UP</t>
    <phoneticPr fontId="1"/>
  </si>
  <si>
    <t>宮崎</t>
    <phoneticPr fontId="1"/>
  </si>
  <si>
    <t>[新生]豆狸</t>
    <phoneticPr fontId="1"/>
  </si>
  <si>
    <t>狸の家化け</t>
    <phoneticPr fontId="1"/>
  </si>
  <si>
    <t>タイプ【名物】の防25％UP</t>
    <phoneticPr fontId="1"/>
  </si>
  <si>
    <t>宮城</t>
    <phoneticPr fontId="1"/>
  </si>
  <si>
    <t>[新生]ウタツザウルス</t>
    <phoneticPr fontId="1"/>
  </si>
  <si>
    <t>最古の魚竜</t>
    <phoneticPr fontId="1"/>
  </si>
  <si>
    <t>タイプ【偉人】の攻25％UP</t>
    <phoneticPr fontId="1"/>
  </si>
  <si>
    <t>[新生]加茂令子</t>
    <phoneticPr fontId="1"/>
  </si>
  <si>
    <t>知性派</t>
    <phoneticPr fontId="1"/>
  </si>
  <si>
    <t>裁縫の師</t>
    <phoneticPr fontId="1"/>
  </si>
  <si>
    <t>深泥ヶ池</t>
    <phoneticPr fontId="1"/>
  </si>
  <si>
    <t>神秘</t>
    <phoneticPr fontId="1"/>
  </si>
  <si>
    <t>女幽霊が彷徨える池</t>
    <phoneticPr fontId="1"/>
  </si>
  <si>
    <t>化ケモノ大集合</t>
    <phoneticPr fontId="1"/>
  </si>
  <si>
    <t>穴の狸の化け算用</t>
    <phoneticPr fontId="1"/>
  </si>
  <si>
    <t>伝説の丘化け</t>
    <phoneticPr fontId="1"/>
  </si>
  <si>
    <t>心霊パラダイス</t>
    <phoneticPr fontId="1"/>
  </si>
  <si>
    <t>二股トンネル</t>
    <phoneticPr fontId="1"/>
  </si>
  <si>
    <t>[新生]天鼠</t>
    <phoneticPr fontId="1"/>
  </si>
  <si>
    <t>天を飛翔する蝙蝠</t>
    <phoneticPr fontId="1"/>
  </si>
  <si>
    <t>[新生]鍾乳洞</t>
    <phoneticPr fontId="1"/>
  </si>
  <si>
    <t>膨大な時間が作り出す美</t>
    <phoneticPr fontId="1"/>
  </si>
  <si>
    <t>タイプ知性派・飲食の防25％UP</t>
    <phoneticPr fontId="1"/>
  </si>
  <si>
    <t>[新生]アラハバキ</t>
    <phoneticPr fontId="1"/>
  </si>
  <si>
    <t>無形の守り神</t>
    <phoneticPr fontId="1"/>
  </si>
  <si>
    <t>[新生]高橋是清</t>
    <phoneticPr fontId="1"/>
  </si>
  <si>
    <t>経済を守るダルマ総裁</t>
    <phoneticPr fontId="1"/>
  </si>
  <si>
    <t>[新生]栄姫</t>
    <phoneticPr fontId="1"/>
  </si>
  <si>
    <t>風揺らす金扇</t>
    <phoneticPr fontId="1"/>
  </si>
  <si>
    <t>15,15,14,13</t>
    <phoneticPr fontId="1"/>
  </si>
  <si>
    <t>三野村利左衛門</t>
    <phoneticPr fontId="1"/>
  </si>
  <si>
    <t>三井財閥中興の祖</t>
    <phoneticPr fontId="1"/>
  </si>
  <si>
    <t>タイプ偉人・妖怪・名物の防45％UP</t>
    <phoneticPr fontId="1"/>
  </si>
  <si>
    <t>明日への一手</t>
    <phoneticPr fontId="1"/>
  </si>
  <si>
    <t>異盤遊戯</t>
    <phoneticPr fontId="1"/>
  </si>
  <si>
    <t>棋聖不変</t>
    <phoneticPr fontId="1"/>
  </si>
  <si>
    <t>川崎八右衛門</t>
    <phoneticPr fontId="1"/>
  </si>
  <si>
    <t>川崎八右衛門財閥</t>
    <phoneticPr fontId="1"/>
  </si>
  <si>
    <t>広瀬宰平</t>
    <phoneticPr fontId="1"/>
  </si>
  <si>
    <t>住友別子鉱山鉄道</t>
    <phoneticPr fontId="1"/>
  </si>
  <si>
    <t>[新生]島崎藤村</t>
    <phoneticPr fontId="1"/>
  </si>
  <si>
    <t>ロマン主義、そして自然主義へ</t>
    <phoneticPr fontId="1"/>
  </si>
  <si>
    <t>タイプ偉人・妖怪の攻25％UP</t>
    <phoneticPr fontId="1"/>
  </si>
  <si>
    <t>[新生]安井息軒</t>
    <phoneticPr fontId="1"/>
  </si>
  <si>
    <t>タイプ妖怪・名物の防25％UP</t>
    <phoneticPr fontId="1"/>
  </si>
  <si>
    <t>飽くなき真理への追究</t>
    <phoneticPr fontId="1"/>
  </si>
  <si>
    <t>香川</t>
    <phoneticPr fontId="1"/>
  </si>
  <si>
    <t>[新生]平賀源内</t>
    <phoneticPr fontId="1"/>
  </si>
  <si>
    <t>多彩な才覚</t>
    <phoneticPr fontId="1"/>
  </si>
  <si>
    <t>[新生]はまぐり姫</t>
    <phoneticPr fontId="1"/>
  </si>
  <si>
    <t>繁盛祈願の観音織物</t>
    <phoneticPr fontId="1"/>
  </si>
  <si>
    <t>和歌山</t>
    <phoneticPr fontId="1"/>
  </si>
  <si>
    <t>[新生]桂男</t>
    <phoneticPr fontId="1"/>
  </si>
  <si>
    <t>月の微笑み</t>
    <phoneticPr fontId="1"/>
  </si>
  <si>
    <t>タイプ【妖怪】の攻20％UP</t>
    <phoneticPr fontId="1"/>
  </si>
  <si>
    <t>【日本号】母里友信</t>
    <phoneticPr fontId="1"/>
  </si>
  <si>
    <t>酒は呑め呑め呑むならば！</t>
    <phoneticPr fontId="1"/>
  </si>
  <si>
    <t>江戸時代の現代アート</t>
    <phoneticPr fontId="1"/>
  </si>
  <si>
    <t>娯楽の境地</t>
    <phoneticPr fontId="1"/>
  </si>
  <si>
    <t>タイプ妖怪・名物の防20％UP</t>
    <phoneticPr fontId="1"/>
  </si>
  <si>
    <t>画狂老人と謎の絵師</t>
    <phoneticPr fontId="1"/>
  </si>
  <si>
    <t>【御手杵】結城秀康</t>
    <phoneticPr fontId="1"/>
  </si>
  <si>
    <t>天下三名槍・御手杵</t>
    <phoneticPr fontId="1"/>
  </si>
  <si>
    <t>【備前長船長光】佐々木小次郎</t>
    <phoneticPr fontId="1"/>
  </si>
  <si>
    <t>秘剣・燕返し</t>
    <phoneticPr fontId="1"/>
  </si>
  <si>
    <t>[新生]中野竹子</t>
    <phoneticPr fontId="1"/>
  </si>
  <si>
    <t>娘子隊の結成</t>
    <phoneticPr fontId="1"/>
  </si>
  <si>
    <t>タイプ姫・伝承の防25％UP</t>
    <phoneticPr fontId="1"/>
  </si>
  <si>
    <t>[新生]加藤清正</t>
    <phoneticPr fontId="1"/>
  </si>
  <si>
    <t>虎殺し</t>
    <phoneticPr fontId="1"/>
  </si>
  <si>
    <t>タイプ姫・伝承の攻25％UP</t>
    <phoneticPr fontId="1"/>
  </si>
  <si>
    <t>長野</t>
    <phoneticPr fontId="1"/>
  </si>
  <si>
    <t>[新生]松尾多勢子</t>
    <phoneticPr fontId="1"/>
  </si>
  <si>
    <t>岩倉家の女参事</t>
    <phoneticPr fontId="1"/>
  </si>
  <si>
    <t>タイプ【伝承】の攻25％UP</t>
    <phoneticPr fontId="1"/>
  </si>
  <si>
    <t>愛媛</t>
    <phoneticPr fontId="1"/>
  </si>
  <si>
    <t>[新生]針女</t>
    <phoneticPr fontId="1"/>
  </si>
  <si>
    <t>連れ去りの針髪</t>
    <phoneticPr fontId="1"/>
  </si>
  <si>
    <t>山形</t>
    <phoneticPr fontId="1"/>
  </si>
  <si>
    <t>[新生]大林坊俊海</t>
    <phoneticPr fontId="1"/>
  </si>
  <si>
    <t>陸奥国覇者の鼠</t>
    <phoneticPr fontId="1"/>
  </si>
  <si>
    <t>へいけがに</t>
    <phoneticPr fontId="1"/>
  </si>
  <si>
    <t>ふねひきかぐら</t>
    <phoneticPr fontId="1"/>
  </si>
  <si>
    <t>うしのりくもまい</t>
    <phoneticPr fontId="1"/>
  </si>
  <si>
    <t>くまのじんじゃのかみまい</t>
    <phoneticPr fontId="1"/>
  </si>
  <si>
    <t>しんせいあまのとりぶね</t>
    <phoneticPr fontId="1"/>
  </si>
  <si>
    <t>しんせいじゅうろくだにのつまやなぎ</t>
    <phoneticPr fontId="1"/>
  </si>
  <si>
    <t>しんせいうしのこくまいりわらにんぎょう</t>
    <phoneticPr fontId="1"/>
  </si>
  <si>
    <t>しんせいうつのみやただつな</t>
    <phoneticPr fontId="1"/>
  </si>
  <si>
    <t>しんせいけんどうさかもとおとめ</t>
    <phoneticPr fontId="1"/>
  </si>
  <si>
    <t>しんせいまつかわひめ</t>
    <phoneticPr fontId="1"/>
  </si>
  <si>
    <t>しんせいまめだぬき</t>
    <phoneticPr fontId="1"/>
  </si>
  <si>
    <t>しんせいうたつざうるす</t>
    <phoneticPr fontId="1"/>
  </si>
  <si>
    <t>しんせいかもれいこ</t>
    <phoneticPr fontId="1"/>
  </si>
  <si>
    <t>しんせいほいほいび</t>
    <phoneticPr fontId="1"/>
  </si>
  <si>
    <t>18,18,18,15,12</t>
    <phoneticPr fontId="1"/>
  </si>
  <si>
    <t>18+15+(18+18),12</t>
    <phoneticPr fontId="1"/>
  </si>
  <si>
    <t>ほうそうぎょ</t>
    <phoneticPr fontId="1"/>
  </si>
  <si>
    <t>引14a,11,10,引9b</t>
    <rPh sb="0" eb="1">
      <t>ヒ</t>
    </rPh>
    <phoneticPr fontId="1"/>
  </si>
  <si>
    <t>引14a,14,11,引9b</t>
    <phoneticPr fontId="1"/>
  </si>
  <si>
    <t>15,引14a,11,引9b</t>
    <phoneticPr fontId="1"/>
  </si>
  <si>
    <t>15,引14a,12,10,引9b</t>
    <rPh sb="3" eb="4">
      <t>ヒ</t>
    </rPh>
    <rPh sb="14" eb="15">
      <t>ヒ</t>
    </rPh>
    <phoneticPr fontId="1"/>
  </si>
  <si>
    <t>16,引14a,13,引9b</t>
    <phoneticPr fontId="1"/>
  </si>
  <si>
    <t>15,引14a,13,10,引9b</t>
    <rPh sb="3" eb="4">
      <t>ヒ</t>
    </rPh>
    <rPh sb="14" eb="15">
      <t>ヒ</t>
    </rPh>
    <phoneticPr fontId="1"/>
  </si>
  <si>
    <t>引14a,11,10,引9b</t>
    <phoneticPr fontId="1"/>
  </si>
  <si>
    <t>引14a,12,10,引9b</t>
    <phoneticPr fontId="1"/>
  </si>
  <si>
    <t>引14a,14,11,引9b</t>
    <rPh sb="11" eb="12">
      <t>ヒ</t>
    </rPh>
    <phoneticPr fontId="1"/>
  </si>
  <si>
    <t>13,12,11,11,9</t>
    <phoneticPr fontId="1"/>
  </si>
  <si>
    <t>しんせいえいひめ</t>
    <phoneticPr fontId="1"/>
  </si>
  <si>
    <t>しんせいたかはしこれきよ</t>
    <phoneticPr fontId="1"/>
  </si>
  <si>
    <t>しんせいあらはばき</t>
    <phoneticPr fontId="1"/>
  </si>
  <si>
    <t>しんせいしょうにゅうどう</t>
    <phoneticPr fontId="1"/>
  </si>
  <si>
    <t>しんせいてんそ</t>
    <phoneticPr fontId="1"/>
  </si>
  <si>
    <t>17,14,14,12,12</t>
    <phoneticPr fontId="1"/>
  </si>
  <si>
    <t>処10+7+8 処13,9</t>
    <rPh sb="0" eb="1">
      <t>トコロ</t>
    </rPh>
    <rPh sb="8" eb="9">
      <t>トコロ</t>
    </rPh>
    <phoneticPr fontId="1"/>
  </si>
  <si>
    <t>しんせいりょうらんなべしまのばけねこ</t>
    <phoneticPr fontId="1"/>
  </si>
  <si>
    <t>しんせいあかてこ</t>
    <phoneticPr fontId="1"/>
  </si>
  <si>
    <t>しんせいかつおぶし</t>
    <phoneticPr fontId="1"/>
  </si>
  <si>
    <t>しんせいなんぶとしなお</t>
    <phoneticPr fontId="1"/>
  </si>
  <si>
    <t>しんせいたまものまえ</t>
    <phoneticPr fontId="1"/>
  </si>
  <si>
    <t>じゅもっこ</t>
    <phoneticPr fontId="1"/>
  </si>
  <si>
    <t>えんじゅのじゃしん</t>
    <phoneticPr fontId="1"/>
  </si>
  <si>
    <t>こんじゃくひゃっきしゅういばしょうのせい</t>
    <phoneticPr fontId="1"/>
  </si>
  <si>
    <t>いまがしゅんたまごのうたげにし</t>
    <phoneticPr fontId="1"/>
  </si>
  <si>
    <t>いまがしゅんたまごのうたげひがし</t>
    <phoneticPr fontId="1"/>
  </si>
  <si>
    <t>たべつくしいまがしゅんたまごのうたげ</t>
    <phoneticPr fontId="1"/>
  </si>
  <si>
    <t>しんせいりんどうちゃん</t>
    <phoneticPr fontId="1"/>
  </si>
  <si>
    <t>しんせいあきやまよしふる</t>
    <phoneticPr fontId="1"/>
  </si>
  <si>
    <t>しんせいぶるーべりーちゃん</t>
    <phoneticPr fontId="1"/>
  </si>
  <si>
    <t>しんせいおいわいたい</t>
    <phoneticPr fontId="1"/>
  </si>
  <si>
    <t>しんせいひつまぶしちゃん</t>
    <phoneticPr fontId="1"/>
  </si>
  <si>
    <t>しんせいだいりんぼうしゅんかい</t>
    <phoneticPr fontId="1"/>
  </si>
  <si>
    <t>しんせいはりおんな</t>
    <phoneticPr fontId="1"/>
  </si>
  <si>
    <t>しんせいまつおたせこ</t>
    <phoneticPr fontId="1"/>
  </si>
  <si>
    <t>しんせいかとうきよまさ</t>
    <phoneticPr fontId="1"/>
  </si>
  <si>
    <t>処13+8+9 処10+7</t>
    <phoneticPr fontId="1"/>
  </si>
  <si>
    <t>しんせいなかのたけこ</t>
    <phoneticPr fontId="1"/>
  </si>
  <si>
    <t>しんせいかつらおとこ</t>
    <phoneticPr fontId="1"/>
  </si>
  <si>
    <t>しんせいはまぐりひめ</t>
    <phoneticPr fontId="1"/>
  </si>
  <si>
    <t>しんせいひらがげんない</t>
    <phoneticPr fontId="1"/>
  </si>
  <si>
    <t>17,14,13,12,11</t>
    <phoneticPr fontId="1"/>
  </si>
  <si>
    <t>15,14,14,12</t>
    <phoneticPr fontId="1"/>
  </si>
  <si>
    <t>しんせいしまざきとうそん</t>
    <phoneticPr fontId="1"/>
  </si>
  <si>
    <t>しんせいやすいそっけん</t>
    <phoneticPr fontId="1"/>
  </si>
  <si>
    <t>処15+11+11 処13+9 処12</t>
    <rPh sb="0" eb="1">
      <t>トコロ</t>
    </rPh>
    <rPh sb="10" eb="11">
      <t>トコロ</t>
    </rPh>
    <rPh sb="16" eb="17">
      <t>トコロ</t>
    </rPh>
    <phoneticPr fontId="1"/>
  </si>
  <si>
    <t>処16+12+13 処13+12</t>
    <rPh sb="0" eb="1">
      <t>トコロ</t>
    </rPh>
    <rPh sb="10" eb="11">
      <t>トコロ</t>
    </rPh>
    <phoneticPr fontId="1"/>
  </si>
  <si>
    <t>でかもりたこらいす</t>
    <phoneticPr fontId="1"/>
  </si>
  <si>
    <t>でかもりすーぷかれー</t>
    <phoneticPr fontId="1"/>
  </si>
  <si>
    <t>嫉妬に狂った薙刀使い</t>
    <phoneticPr fontId="1"/>
  </si>
  <si>
    <t>絶対恋愛成就のエール</t>
    <phoneticPr fontId="1"/>
  </si>
  <si>
    <t>頼れる恋の神サポーター</t>
    <phoneticPr fontId="1"/>
  </si>
  <si>
    <t>恋守る神様達の言うとおり</t>
    <phoneticPr fontId="1"/>
  </si>
  <si>
    <t>露も涙も土器と共に</t>
    <phoneticPr fontId="1"/>
  </si>
  <si>
    <t>毒盛りの姫</t>
    <phoneticPr fontId="1"/>
  </si>
  <si>
    <t>伝承</t>
    <rPh sb="0" eb="2">
      <t>デンショウ</t>
    </rPh>
    <phoneticPr fontId="1"/>
  </si>
  <si>
    <t>知性派</t>
    <rPh sb="0" eb="2">
      <t>チセイ</t>
    </rPh>
    <rPh sb="2" eb="3">
      <t>ハ</t>
    </rPh>
    <phoneticPr fontId="1"/>
  </si>
  <si>
    <t>徳島</t>
    <phoneticPr fontId="1"/>
  </si>
  <si>
    <t>海よりも深い契り</t>
    <phoneticPr fontId="1"/>
  </si>
  <si>
    <t>タイプ武人・伝承の攻25％UP</t>
    <phoneticPr fontId="1"/>
  </si>
  <si>
    <t>真田の京御前</t>
    <phoneticPr fontId="1"/>
  </si>
  <si>
    <t>タイプ武人・伝承の防25％UP</t>
    <phoneticPr fontId="1"/>
  </si>
  <si>
    <t>大分</t>
    <phoneticPr fontId="1"/>
  </si>
  <si>
    <t>美貌の戦国姫</t>
    <phoneticPr fontId="1"/>
  </si>
  <si>
    <t>大阪</t>
    <phoneticPr fontId="1"/>
  </si>
  <si>
    <t>唐土の皿を巡る争い</t>
    <phoneticPr fontId="1"/>
  </si>
  <si>
    <t>秋田</t>
    <phoneticPr fontId="1"/>
  </si>
  <si>
    <t>近代女子体操の元祖</t>
    <phoneticPr fontId="1"/>
  </si>
  <si>
    <t>タイプ【飲食】の攻25％UP</t>
    <phoneticPr fontId="1"/>
  </si>
  <si>
    <t>(14+9)+(11+10)+(14+11)</t>
  </si>
  <si>
    <t>13+?+?</t>
    <phoneticPr fontId="1"/>
  </si>
  <si>
    <t>失念</t>
    <rPh sb="0" eb="2">
      <t>シツネン</t>
    </rPh>
    <phoneticPr fontId="1"/>
  </si>
  <si>
    <t>処済 図鑑埋め済</t>
    <rPh sb="0" eb="1">
      <t>トコロ</t>
    </rPh>
    <rPh sb="1" eb="2">
      <t>ズ</t>
    </rPh>
    <rPh sb="3" eb="5">
      <t>ズカン</t>
    </rPh>
    <rPh sb="5" eb="6">
      <t>ウ</t>
    </rPh>
    <rPh sb="7" eb="8">
      <t>ズ</t>
    </rPh>
    <phoneticPr fontId="1"/>
  </si>
  <si>
    <t>うしゅうのおにひめよしひめ</t>
    <phoneticPr fontId="1"/>
  </si>
  <si>
    <t>ふじわらのあんし</t>
    <phoneticPr fontId="1"/>
  </si>
  <si>
    <t>しょうせんいん</t>
    <phoneticPr fontId="1"/>
  </si>
  <si>
    <t>てんくろれんあいじょうじゅばれんたいんらぶ</t>
    <phoneticPr fontId="1"/>
  </si>
  <si>
    <t>てんくろれんあいじょうじゅばれんたいんくっきー</t>
    <phoneticPr fontId="1"/>
  </si>
  <si>
    <t>てんくろれんあいじょうじゅばれんたいんちょこ</t>
    <phoneticPr fontId="1"/>
  </si>
  <si>
    <t>しんせいこざいしょう</t>
    <phoneticPr fontId="1"/>
  </si>
  <si>
    <t>しんせいやまのてどの</t>
    <phoneticPr fontId="1"/>
  </si>
  <si>
    <t>しんせいたちばなぎんちよ</t>
    <phoneticPr fontId="1"/>
  </si>
  <si>
    <t>しんせいもろこしのせいじ</t>
    <phoneticPr fontId="1"/>
  </si>
  <si>
    <t>しんせいいのくちあくり</t>
    <phoneticPr fontId="1"/>
  </si>
  <si>
    <t>13,12</t>
    <phoneticPr fontId="1"/>
  </si>
  <si>
    <t>とろいせき</t>
    <phoneticPr fontId="1"/>
  </si>
  <si>
    <t>大地から蘇りし太古の生き様</t>
    <phoneticPr fontId="1"/>
  </si>
  <si>
    <t>白銀の世界で紡がれた御伽噺</t>
    <phoneticPr fontId="1"/>
  </si>
  <si>
    <t>氷の国に舞う御伽噺の姫君達</t>
    <phoneticPr fontId="1"/>
  </si>
  <si>
    <t>氷雪が結ぶ御伽噺の奇妙な縁</t>
    <phoneticPr fontId="1"/>
  </si>
  <si>
    <t>眼下に広がる古のロマン</t>
    <phoneticPr fontId="1"/>
  </si>
  <si>
    <t>東国屈指の豪族が眠りし跡</t>
    <phoneticPr fontId="1"/>
  </si>
  <si>
    <t>火気厳禁の無人島</t>
    <phoneticPr fontId="1"/>
  </si>
  <si>
    <t>タイプ偉人・妖怪の防25％UP</t>
    <phoneticPr fontId="1"/>
  </si>
  <si>
    <t>愛の心の導き石</t>
    <phoneticPr fontId="1"/>
  </si>
  <si>
    <t>精悍な阿波藩の犬</t>
    <phoneticPr fontId="1"/>
  </si>
  <si>
    <t>岡山</t>
    <phoneticPr fontId="1"/>
  </si>
  <si>
    <t>天空から舞い降りし鬼</t>
    <phoneticPr fontId="1"/>
  </si>
  <si>
    <t>福島</t>
    <phoneticPr fontId="1"/>
  </si>
  <si>
    <t>田と山の二足の草鞋</t>
    <phoneticPr fontId="1"/>
  </si>
  <si>
    <t>タイプ【飲食】の防25％UP</t>
    <phoneticPr fontId="1"/>
  </si>
  <si>
    <t>けっせんこおりのくにのおとぎばなし</t>
    <phoneticPr fontId="1"/>
  </si>
  <si>
    <t>こおりのくにのおとぎばなしぷりんせす</t>
    <phoneticPr fontId="1"/>
  </si>
  <si>
    <t>こおりのくにのおとぎばなしくいーん</t>
    <phoneticPr fontId="1"/>
  </si>
  <si>
    <t>よしのがりいせき</t>
    <phoneticPr fontId="1"/>
  </si>
  <si>
    <t>かんのんやまこふん</t>
    <phoneticPr fontId="1"/>
  </si>
  <si>
    <t>しんせいともがしま</t>
    <phoneticPr fontId="1"/>
  </si>
  <si>
    <t>しんせいえんじぇらいと</t>
    <phoneticPr fontId="1"/>
  </si>
  <si>
    <t>しんせいあわけん</t>
    <phoneticPr fontId="1"/>
  </si>
  <si>
    <t>しんせいうら</t>
    <phoneticPr fontId="1"/>
  </si>
  <si>
    <t>しんせいほうじょうさがみさま</t>
    <phoneticPr fontId="1"/>
  </si>
  <si>
    <t>東日本→全国</t>
    <phoneticPr fontId="1"/>
  </si>
  <si>
    <t>魔術の女王の撥さばき</t>
    <phoneticPr fontId="1"/>
  </si>
  <si>
    <t>納涼、夏の風物詩</t>
    <phoneticPr fontId="1"/>
  </si>
  <si>
    <t>西日本の祭り</t>
    <phoneticPr fontId="1"/>
  </si>
  <si>
    <t>東日本の祭り</t>
    <phoneticPr fontId="1"/>
  </si>
  <si>
    <t>真夏の天クロ祭～東～</t>
    <phoneticPr fontId="1"/>
  </si>
  <si>
    <t>真夏の天クロ祭～西～</t>
    <phoneticPr fontId="1"/>
  </si>
  <si>
    <t>美しき白菊の花の奏</t>
    <phoneticPr fontId="1"/>
  </si>
  <si>
    <t>幽玄への導き手</t>
    <phoneticPr fontId="1"/>
  </si>
  <si>
    <t>タイプ伝承・飲食の攻30％UP</t>
    <phoneticPr fontId="1"/>
  </si>
  <si>
    <t>【雅和楽器】ラグーザ玉</t>
    <phoneticPr fontId="1"/>
  </si>
  <si>
    <t>【雅和楽器】小村寿太郎</t>
    <phoneticPr fontId="1"/>
  </si>
  <si>
    <t>かぶき者の外交手腕</t>
    <phoneticPr fontId="1"/>
  </si>
  <si>
    <t>タイプ伝承・神秘の防25％UP</t>
    <phoneticPr fontId="1"/>
  </si>
  <si>
    <t>【雅和楽器】寿桂尼</t>
    <phoneticPr fontId="1"/>
  </si>
  <si>
    <t>爪弾く鬼門を護る音色</t>
    <phoneticPr fontId="1"/>
  </si>
  <si>
    <t>タイプ神秘・飲食の攻25％UP</t>
    <phoneticPr fontId="1"/>
  </si>
  <si>
    <t>広島</t>
    <phoneticPr fontId="1"/>
  </si>
  <si>
    <t>【雅和楽器】ジュリア・カロザース</t>
    <phoneticPr fontId="1"/>
  </si>
  <si>
    <t>鳳凰見守る困難との対峙</t>
    <phoneticPr fontId="1"/>
  </si>
  <si>
    <t>沖縄</t>
    <phoneticPr fontId="1"/>
  </si>
  <si>
    <t>【新生】エイサー</t>
    <phoneticPr fontId="1"/>
  </si>
  <si>
    <t>ワッターシンカ！</t>
    <phoneticPr fontId="1"/>
  </si>
  <si>
    <t>鹿児島</t>
    <phoneticPr fontId="1"/>
  </si>
  <si>
    <t>飛来する人さらい</t>
    <phoneticPr fontId="1"/>
  </si>
  <si>
    <t>【新生】ヤンボシ</t>
    <phoneticPr fontId="1"/>
  </si>
  <si>
    <t>長崎</t>
    <phoneticPr fontId="1"/>
  </si>
  <si>
    <t>【新生】よりよりちゃん</t>
    <phoneticPr fontId="1"/>
  </si>
  <si>
    <t>ねじねじの味わいおかし</t>
    <phoneticPr fontId="1"/>
  </si>
  <si>
    <t>タイプ【神秘】の攻25％UP</t>
    <phoneticPr fontId="1"/>
  </si>
  <si>
    <t>【新生】姫鶴一文字</t>
    <phoneticPr fontId="1"/>
  </si>
  <si>
    <t>新潟</t>
    <phoneticPr fontId="1"/>
  </si>
  <si>
    <t>窮地を救う姫鶴の祈り</t>
    <phoneticPr fontId="1"/>
  </si>
  <si>
    <t>新生有利R隊士チケ</t>
    <rPh sb="0" eb="2">
      <t>シンセイ</t>
    </rPh>
    <rPh sb="2" eb="4">
      <t>ユウリ</t>
    </rPh>
    <rPh sb="5" eb="7">
      <t>タイシ</t>
    </rPh>
    <phoneticPr fontId="1"/>
  </si>
  <si>
    <t>金箱・初日功績・エリアクリア</t>
    <rPh sb="0" eb="1">
      <t>キン</t>
    </rPh>
    <rPh sb="1" eb="2">
      <t>ハコ</t>
    </rPh>
    <rPh sb="3" eb="5">
      <t>ショニチ</t>
    </rPh>
    <rPh sb="5" eb="7">
      <t>コウセキ</t>
    </rPh>
    <phoneticPr fontId="1"/>
  </si>
  <si>
    <t>銀箱</t>
    <rPh sb="0" eb="1">
      <t>ギン</t>
    </rPh>
    <rPh sb="1" eb="2">
      <t>ハコ</t>
    </rPh>
    <phoneticPr fontId="1"/>
  </si>
  <si>
    <t>中間・最終・一撃・防衛率</t>
    <rPh sb="0" eb="2">
      <t>チュウカン</t>
    </rPh>
    <rPh sb="3" eb="5">
      <t>サイシュウ</t>
    </rPh>
    <rPh sb="6" eb="8">
      <t>イチゲキ</t>
    </rPh>
    <rPh sb="9" eb="11">
      <t>ボウエイ</t>
    </rPh>
    <rPh sb="11" eb="12">
      <t>リツ</t>
    </rPh>
    <phoneticPr fontId="1"/>
  </si>
  <si>
    <t>中間・最終・一撃・防衛率・金箱・銀箱</t>
    <rPh sb="0" eb="2">
      <t>チュウカン</t>
    </rPh>
    <rPh sb="3" eb="5">
      <t>サイシュウ</t>
    </rPh>
    <rPh sb="6" eb="8">
      <t>イチゲキ</t>
    </rPh>
    <rPh sb="9" eb="11">
      <t>ボウエイ</t>
    </rPh>
    <rPh sb="11" eb="12">
      <t>リツ</t>
    </rPh>
    <rPh sb="13" eb="14">
      <t>キン</t>
    </rPh>
    <rPh sb="14" eb="15">
      <t>ハコ</t>
    </rPh>
    <rPh sb="16" eb="17">
      <t>ギン</t>
    </rPh>
    <rPh sb="17" eb="18">
      <t>ハコ</t>
    </rPh>
    <phoneticPr fontId="1"/>
  </si>
  <si>
    <t>中間・最終・2000位・チケ・エリアクリア</t>
    <rPh sb="0" eb="2">
      <t>チュウカン</t>
    </rPh>
    <rPh sb="3" eb="5">
      <t>サイシュウ</t>
    </rPh>
    <rPh sb="10" eb="11">
      <t>イ</t>
    </rPh>
    <phoneticPr fontId="1"/>
  </si>
  <si>
    <t>最終・2000位・チケ・一撃・防衛率</t>
    <rPh sb="0" eb="2">
      <t>サイシュウ</t>
    </rPh>
    <rPh sb="7" eb="8">
      <t>イ</t>
    </rPh>
    <rPh sb="12" eb="14">
      <t>イチゲキ</t>
    </rPh>
    <rPh sb="15" eb="17">
      <t>ボウエイ</t>
    </rPh>
    <rPh sb="17" eb="18">
      <t>リツ</t>
    </rPh>
    <phoneticPr fontId="1"/>
  </si>
  <si>
    <t>中間・最終・一撃</t>
    <rPh sb="0" eb="2">
      <t>チュウカン</t>
    </rPh>
    <rPh sb="3" eb="5">
      <t>サイシュウ</t>
    </rPh>
    <rPh sb="6" eb="8">
      <t>イチゲキ</t>
    </rPh>
    <phoneticPr fontId="1"/>
  </si>
  <si>
    <t>びぜんおさふねながみつささきこじろう</t>
    <phoneticPr fontId="1"/>
  </si>
  <si>
    <t>15+12+13,9,11,11</t>
    <phoneticPr fontId="1"/>
  </si>
  <si>
    <t>処17+12+12 処14+13</t>
    <rPh sb="0" eb="1">
      <t>ショ</t>
    </rPh>
    <rPh sb="10" eb="11">
      <t>ショ</t>
    </rPh>
    <phoneticPr fontId="1"/>
  </si>
  <si>
    <t>17,14,13,12,12</t>
    <phoneticPr fontId="1"/>
  </si>
  <si>
    <t>【世紀末】ぬらりひょん</t>
    <phoneticPr fontId="1"/>
  </si>
  <si>
    <t>世紀末百鬼夜行</t>
    <phoneticPr fontId="1"/>
  </si>
  <si>
    <t>にっぽんスイーツパラダイス♪</t>
    <phoneticPr fontId="1"/>
  </si>
  <si>
    <t>悪戯パスタは魅惑のお味</t>
    <phoneticPr fontId="1"/>
  </si>
  <si>
    <t>[新生]蛇骨娘</t>
    <phoneticPr fontId="1"/>
  </si>
  <si>
    <t>青と赤の蛇を操る娘</t>
    <phoneticPr fontId="1"/>
  </si>
  <si>
    <t>笑顔をお届け</t>
    <phoneticPr fontId="1"/>
  </si>
  <si>
    <t>[新生]【冥暗】不知火</t>
    <phoneticPr fontId="1"/>
  </si>
  <si>
    <t>闇海に漂う火の玉</t>
    <phoneticPr fontId="1"/>
  </si>
  <si>
    <t>[新生]【巨大妖怪】がしゃどくろ</t>
    <phoneticPr fontId="1"/>
  </si>
  <si>
    <t>義理堅き髑髏妖怪</t>
    <phoneticPr fontId="1"/>
  </si>
  <si>
    <t>[新生]【ヘビメタ】黒坊主</t>
    <phoneticPr fontId="1"/>
  </si>
  <si>
    <t>黒僧からの鎮魂歌</t>
    <phoneticPr fontId="1"/>
  </si>
  <si>
    <t>[新生]ムチ</t>
    <phoneticPr fontId="1"/>
  </si>
  <si>
    <t>近づく鞭の風きり音</t>
    <phoneticPr fontId="1"/>
  </si>
  <si>
    <t>[新生]津軽為信</t>
    <phoneticPr fontId="1"/>
  </si>
  <si>
    <t>髭殿</t>
    <phoneticPr fontId="1"/>
  </si>
  <si>
    <t>[新生]安来節</t>
    <phoneticPr fontId="1"/>
  </si>
  <si>
    <t>島根</t>
    <phoneticPr fontId="1"/>
  </si>
  <si>
    <t>抱腹絶倒のお座敷芸</t>
    <phoneticPr fontId="1"/>
  </si>
  <si>
    <t>タイプ【姫】の防20％UP</t>
    <phoneticPr fontId="1"/>
  </si>
  <si>
    <t>しんせいきょだいようかいがしゃどくろ</t>
    <phoneticPr fontId="1"/>
  </si>
  <si>
    <t>しんせいつがるためのぶ</t>
    <phoneticPr fontId="1"/>
  </si>
  <si>
    <t>しんせいやすぎぶし</t>
    <phoneticPr fontId="1"/>
  </si>
  <si>
    <t>しんせいめいあんしらぬい</t>
    <phoneticPr fontId="1"/>
  </si>
  <si>
    <t>しんせいむち</t>
    <phoneticPr fontId="1"/>
  </si>
  <si>
    <t>【SHINOBI】仁科大助</t>
    <phoneticPr fontId="1"/>
  </si>
  <si>
    <t>戸隠流忍術</t>
    <phoneticPr fontId="1"/>
  </si>
  <si>
    <t>君が為め</t>
    <phoneticPr fontId="1"/>
  </si>
  <si>
    <t>祝撃必中</t>
    <phoneticPr fontId="1"/>
  </si>
  <si>
    <t>不敗の名刀</t>
    <phoneticPr fontId="1"/>
  </si>
  <si>
    <t>【SHINOBI】池玉瀾</t>
    <phoneticPr fontId="1"/>
  </si>
  <si>
    <t>画流忍術</t>
    <phoneticPr fontId="1"/>
  </si>
  <si>
    <t>【SHINOBI】荒木田麗女</t>
    <phoneticPr fontId="1"/>
  </si>
  <si>
    <t>忍術創造</t>
    <phoneticPr fontId="1"/>
  </si>
  <si>
    <t>[新生]加藤段蔵</t>
    <phoneticPr fontId="1"/>
  </si>
  <si>
    <t>関東平野を覆う火遁</t>
    <phoneticPr fontId="1"/>
  </si>
  <si>
    <t>【SHINOBI】堀田吉子</t>
    <phoneticPr fontId="1"/>
  </si>
  <si>
    <t>遠路も水路も歩きぬく足</t>
    <phoneticPr fontId="1"/>
  </si>
  <si>
    <t>タイプ【名物】の防30％UP</t>
    <phoneticPr fontId="1"/>
  </si>
  <si>
    <t>[新生]グラバー</t>
    <phoneticPr fontId="1"/>
  </si>
  <si>
    <t>近代化への貢献</t>
    <phoneticPr fontId="1"/>
  </si>
  <si>
    <t>姫</t>
    <rPh sb="0" eb="1">
      <t>ヒメ</t>
    </rPh>
    <phoneticPr fontId="1"/>
  </si>
  <si>
    <t>[新生]玉虫塗ちゃん</t>
    <phoneticPr fontId="1"/>
  </si>
  <si>
    <t>艶やかなる光沢</t>
    <phoneticPr fontId="1"/>
  </si>
  <si>
    <t>タイプ【妖怪】の防25％UP</t>
    <phoneticPr fontId="1"/>
  </si>
  <si>
    <t>[新生]井伊直虎</t>
    <phoneticPr fontId="1"/>
  </si>
  <si>
    <t>静岡</t>
    <phoneticPr fontId="1"/>
  </si>
  <si>
    <t>井伊谷の女地頭</t>
    <phoneticPr fontId="1"/>
  </si>
  <si>
    <t>タイプ【武人】の攻20％UP</t>
    <phoneticPr fontId="1"/>
  </si>
  <si>
    <t>19,18,18,15,12</t>
    <phoneticPr fontId="1"/>
  </si>
  <si>
    <t>19,17,16,15</t>
    <phoneticPr fontId="1"/>
  </si>
  <si>
    <t>15,引14a,13,10,引9b</t>
    <phoneticPr fontId="1"/>
  </si>
  <si>
    <t>しんせいへびめたくろぼうず</t>
    <phoneticPr fontId="1"/>
  </si>
  <si>
    <t>せいきまつぬらりひょん</t>
    <phoneticPr fontId="1"/>
  </si>
  <si>
    <t>19+15+(17+16)</t>
    <phoneticPr fontId="1"/>
  </si>
  <si>
    <t>処17+11+11 処13+9 処12</t>
    <rPh sb="0" eb="1">
      <t>ショ</t>
    </rPh>
    <rPh sb="10" eb="11">
      <t>ショ</t>
    </rPh>
    <rPh sb="16" eb="17">
      <t>ショ</t>
    </rPh>
    <phoneticPr fontId="1"/>
  </si>
  <si>
    <t>処19+12+15 処18,18</t>
    <rPh sb="0" eb="1">
      <t>ショ</t>
    </rPh>
    <rPh sb="10" eb="11">
      <t>ショ</t>
    </rPh>
    <phoneticPr fontId="1"/>
  </si>
  <si>
    <t>ひろせさいへい</t>
    <phoneticPr fontId="1"/>
  </si>
  <si>
    <t>処17+11+12 処14+13</t>
    <rPh sb="0" eb="1">
      <t>ショ</t>
    </rPh>
    <rPh sb="10" eb="11">
      <t>ショ</t>
    </rPh>
    <phoneticPr fontId="1"/>
  </si>
  <si>
    <t>処13+9+11 処12+11</t>
    <rPh sb="0" eb="1">
      <t>ショ</t>
    </rPh>
    <rPh sb="9" eb="10">
      <t>ショ</t>
    </rPh>
    <phoneticPr fontId="1"/>
  </si>
  <si>
    <t>かわさきはちえもん</t>
    <phoneticPr fontId="1"/>
  </si>
  <si>
    <t>15+12+(14+14)</t>
    <phoneticPr fontId="1"/>
  </si>
  <si>
    <t>みのむらりざえもん</t>
    <phoneticPr fontId="1"/>
  </si>
  <si>
    <t>にほんごうもりとものぶ</t>
    <phoneticPr fontId="1"/>
  </si>
  <si>
    <t>おてぎねゆうきひでやす</t>
    <phoneticPr fontId="1"/>
  </si>
  <si>
    <t>てんくろうきよえしひがしのえし</t>
    <phoneticPr fontId="1"/>
  </si>
  <si>
    <t>ほうかのしょうぞうにし</t>
    <phoneticPr fontId="1"/>
  </si>
  <si>
    <t>引14a倉,12,倉10,引9b</t>
    <phoneticPr fontId="1"/>
  </si>
  <si>
    <t>倉15,引14a,倉11,引9b</t>
    <phoneticPr fontId="1"/>
  </si>
  <si>
    <t>(15+9)+(11+10)+(14+12)</t>
    <phoneticPr fontId="1"/>
  </si>
  <si>
    <t>てんくろじけいだんひがしこくみまわり</t>
  </si>
  <si>
    <t>てんくろじけいだんにしこくみまわり</t>
  </si>
  <si>
    <t>てんくろじけいだんてんかたいへい</t>
    <phoneticPr fontId="1"/>
  </si>
  <si>
    <t>(14+9)+(11+10)+(14+11)</t>
    <phoneticPr fontId="1"/>
  </si>
  <si>
    <t>14+13+(13+13)</t>
    <phoneticPr fontId="1"/>
  </si>
  <si>
    <t>でかもりおこのみやきちゃん</t>
    <phoneticPr fontId="1"/>
  </si>
  <si>
    <t>てんくろうきよえしだいしゅうごう</t>
    <phoneticPr fontId="1"/>
  </si>
  <si>
    <t>てんくろばんめんじょうのしょうぶし</t>
    <phoneticPr fontId="1"/>
  </si>
  <si>
    <t>てんくろばんめんじょうのしょうぶしひがしのいって</t>
  </si>
  <si>
    <t>てんくろばんめんじょうのしょうぶしにしのいって</t>
  </si>
  <si>
    <t>[新生]【バレエ】桐野利秋</t>
    <phoneticPr fontId="1"/>
  </si>
  <si>
    <t>しんせいばれえきりのとしあき</t>
    <phoneticPr fontId="1"/>
  </si>
  <si>
    <t>しんせいじゃこつむすめ</t>
    <phoneticPr fontId="1"/>
  </si>
  <si>
    <t>しんせいいいなおとら</t>
    <phoneticPr fontId="1"/>
  </si>
  <si>
    <t>しんせいたまむしぬりちゃん</t>
    <phoneticPr fontId="1"/>
  </si>
  <si>
    <t>しんせいぐらばー</t>
    <phoneticPr fontId="1"/>
  </si>
  <si>
    <t>しのびほったきちこ</t>
    <phoneticPr fontId="1"/>
  </si>
  <si>
    <t>しんせいかとうだんぞう</t>
    <phoneticPr fontId="1"/>
  </si>
  <si>
    <t>18,15,14,13,12</t>
    <phoneticPr fontId="1"/>
  </si>
  <si>
    <t>15,15,15,14</t>
    <phoneticPr fontId="1"/>
  </si>
  <si>
    <t>引14a,12,10,引9b</t>
    <rPh sb="0" eb="1">
      <t>ヒ</t>
    </rPh>
    <rPh sb="11" eb="12">
      <t>ヒ</t>
    </rPh>
    <phoneticPr fontId="1"/>
  </si>
  <si>
    <t>15,引14a,13,引9b</t>
    <phoneticPr fontId="1"/>
  </si>
  <si>
    <t>【暴年会】井伊直政</t>
    <phoneticPr fontId="1"/>
  </si>
  <si>
    <t>大虎となった赤鬼</t>
    <phoneticPr fontId="1"/>
  </si>
  <si>
    <t>特選フルーツ大集合！</t>
    <phoneticPr fontId="1"/>
  </si>
  <si>
    <t>ジューシースプラッシュ！</t>
    <phoneticPr fontId="1"/>
  </si>
  <si>
    <t>甘酸っぱさで初恋気分！？</t>
    <phoneticPr fontId="1"/>
  </si>
  <si>
    <t>[新生]【華の太夫】中野竹子</t>
    <phoneticPr fontId="1"/>
  </si>
  <si>
    <t>もののふの猛き心にくらぶれば</t>
    <phoneticPr fontId="1"/>
  </si>
  <si>
    <t>[新生]【築山神社】大内義隆</t>
    <phoneticPr fontId="1"/>
  </si>
  <si>
    <t>経済と文化の発展を支えた威光</t>
    <phoneticPr fontId="1"/>
  </si>
  <si>
    <t>心を奪う麗しの洒落者</t>
    <phoneticPr fontId="1"/>
  </si>
  <si>
    <t>[新生]【剣聖】上泉信綱</t>
    <phoneticPr fontId="1"/>
  </si>
  <si>
    <t>上州一本槍の信</t>
    <phoneticPr fontId="1"/>
  </si>
  <si>
    <t>[新生]真柄直隆</t>
    <phoneticPr fontId="1"/>
  </si>
  <si>
    <t>猛攻太郎太刀</t>
    <phoneticPr fontId="1"/>
  </si>
  <si>
    <t>[新生]コウノトリちゃん</t>
    <phoneticPr fontId="1"/>
  </si>
  <si>
    <t>兵庫</t>
    <phoneticPr fontId="1"/>
  </si>
  <si>
    <t>絶滅からの復活</t>
    <phoneticPr fontId="1"/>
  </si>
  <si>
    <t>[新生]盛岡冷麺ちゃん</t>
    <phoneticPr fontId="1"/>
  </si>
  <si>
    <t>岩手</t>
    <phoneticPr fontId="1"/>
  </si>
  <si>
    <t>果実とコシと唐辛子</t>
    <phoneticPr fontId="1"/>
  </si>
  <si>
    <t>タイプ【神秘】の攻20％UP</t>
    <phoneticPr fontId="1"/>
  </si>
  <si>
    <t>しんせいもりおかれいめんちゃん</t>
    <phoneticPr fontId="1"/>
  </si>
  <si>
    <t>しんせいこうのとりちゃん</t>
    <phoneticPr fontId="1"/>
  </si>
  <si>
    <t>しんせいまがらなおたか</t>
    <phoneticPr fontId="1"/>
  </si>
  <si>
    <t>13,12,10,9,8,7</t>
    <phoneticPr fontId="1"/>
  </si>
  <si>
    <t>処13+8+9 処12+7 処10</t>
    <rPh sb="0" eb="1">
      <t>トコロ</t>
    </rPh>
    <rPh sb="8" eb="9">
      <t>トコロ</t>
    </rPh>
    <rPh sb="14" eb="15">
      <t>ショ</t>
    </rPh>
    <phoneticPr fontId="1"/>
  </si>
  <si>
    <t>しんせいけんせいかみいずみのぶつな</t>
    <phoneticPr fontId="1"/>
  </si>
  <si>
    <t>18,14,13,12,11</t>
    <phoneticPr fontId="1"/>
  </si>
  <si>
    <t>15,14</t>
    <phoneticPr fontId="1"/>
  </si>
  <si>
    <t>処17+12+14 処14+12</t>
    <rPh sb="0" eb="1">
      <t>ショ</t>
    </rPh>
    <rPh sb="10" eb="11">
      <t>ショ</t>
    </rPh>
    <phoneticPr fontId="1"/>
  </si>
  <si>
    <t>ふたまたとんねる</t>
    <phoneticPr fontId="1"/>
  </si>
  <si>
    <t>てんくろばけものだいしゅうごう</t>
    <phoneticPr fontId="1"/>
  </si>
  <si>
    <t>てんくろばけものだいしゅうごうひがしにほん</t>
    <phoneticPr fontId="1"/>
  </si>
  <si>
    <t>てんくろばけものだいしゅうごうにしにほん</t>
    <phoneticPr fontId="1"/>
  </si>
  <si>
    <t>15+13+(15+14)</t>
    <phoneticPr fontId="1"/>
  </si>
  <si>
    <t>みどろがいけ</t>
    <phoneticPr fontId="1"/>
  </si>
  <si>
    <t>東日本→全国</t>
    <rPh sb="0" eb="1">
      <t>ヒガシ</t>
    </rPh>
    <rPh sb="1" eb="3">
      <t>ニホン</t>
    </rPh>
    <rPh sb="4" eb="6">
      <t>ゼンコク</t>
    </rPh>
    <phoneticPr fontId="1"/>
  </si>
  <si>
    <t>荒々しく豊穣もたらす水神</t>
    <phoneticPr fontId="1"/>
  </si>
  <si>
    <t>獅子の武威</t>
    <phoneticPr fontId="1"/>
  </si>
  <si>
    <t>相模国最古級のお有鹿様</t>
    <phoneticPr fontId="1"/>
  </si>
  <si>
    <t>スセリの神宝</t>
    <phoneticPr fontId="1"/>
  </si>
  <si>
    <t>光り輝く吉野川の白蛇</t>
    <phoneticPr fontId="1"/>
  </si>
  <si>
    <t>捧げる永遠の命</t>
    <phoneticPr fontId="1"/>
  </si>
  <si>
    <t>タイプ知性派・飲食の攻25％UP</t>
    <phoneticPr fontId="1"/>
  </si>
  <si>
    <t>繁栄を誘いし家神</t>
    <phoneticPr fontId="1"/>
  </si>
  <si>
    <t>福岡</t>
    <phoneticPr fontId="1"/>
  </si>
  <si>
    <t>妖艶な誘惑</t>
    <phoneticPr fontId="1"/>
  </si>
  <si>
    <t>昼寝山の城主</t>
    <phoneticPr fontId="1"/>
  </si>
  <si>
    <t>タイプ【伝承】の攻20％UP</t>
    <phoneticPr fontId="1"/>
  </si>
  <si>
    <t>しんせいおしらさま</t>
    <phoneticPr fontId="1"/>
  </si>
  <si>
    <t>しんせいうみごぜん</t>
    <phoneticPr fontId="1"/>
  </si>
  <si>
    <t>しんせいさんがわもといえ</t>
    <phoneticPr fontId="1"/>
  </si>
  <si>
    <t>しんせいびめがみみひかりひめ</t>
    <phoneticPr fontId="1"/>
  </si>
  <si>
    <t>16,15,14,13,13,10,9</t>
    <phoneticPr fontId="1"/>
  </si>
  <si>
    <t>20,17,16,16</t>
    <phoneticPr fontId="1"/>
  </si>
  <si>
    <t>19,19,17,17,12</t>
    <phoneticPr fontId="1"/>
  </si>
  <si>
    <t>20+16+(17+16)</t>
    <phoneticPr fontId="1"/>
  </si>
  <si>
    <t>しちふくじんわかうかのめのみこと</t>
    <phoneticPr fontId="1"/>
  </si>
  <si>
    <t>処8+8+8 処8+8 処8,多数</t>
    <rPh sb="0" eb="1">
      <t>トコロ</t>
    </rPh>
    <rPh sb="7" eb="8">
      <t>トコロ</t>
    </rPh>
    <rPh sb="12" eb="13">
      <t>ショ</t>
    </rPh>
    <rPh sb="15" eb="17">
      <t>タスウ</t>
    </rPh>
    <phoneticPr fontId="1"/>
  </si>
  <si>
    <t>卓越した頭脳による名勝負</t>
    <phoneticPr fontId="1"/>
  </si>
  <si>
    <t>西日本→全国</t>
    <rPh sb="0" eb="1">
      <t>ニシ</t>
    </rPh>
    <rPh sb="1" eb="3">
      <t>ニホン</t>
    </rPh>
    <rPh sb="4" eb="6">
      <t>ゼンコク</t>
    </rPh>
    <phoneticPr fontId="1"/>
  </si>
  <si>
    <t>星の囁き</t>
    <phoneticPr fontId="1"/>
  </si>
  <si>
    <t>普遍なる母の愛</t>
    <phoneticPr fontId="1"/>
  </si>
  <si>
    <t>広島</t>
    <rPh sb="0" eb="2">
      <t>ヒロシマ</t>
    </rPh>
    <phoneticPr fontId="1"/>
  </si>
  <si>
    <t>無所属</t>
    <rPh sb="0" eb="3">
      <t>ムショゾク</t>
    </rPh>
    <phoneticPr fontId="1"/>
  </si>
  <si>
    <t>奈良</t>
    <rPh sb="0" eb="2">
      <t>ナラ</t>
    </rPh>
    <phoneticPr fontId="1"/>
  </si>
  <si>
    <t>中国・四国</t>
    <rPh sb="0" eb="2">
      <t>チュウゴク</t>
    </rPh>
    <rPh sb="3" eb="5">
      <t>シコク</t>
    </rPh>
    <phoneticPr fontId="1"/>
  </si>
  <si>
    <t>和敬清寂の心得</t>
    <phoneticPr fontId="1"/>
  </si>
  <si>
    <t>海原の仁王様</t>
    <phoneticPr fontId="1"/>
  </si>
  <si>
    <t>切り開くは三国時代</t>
    <phoneticPr fontId="1"/>
  </si>
  <si>
    <t>タイプ妖怪・名物の攻25％UP</t>
    <phoneticPr fontId="1"/>
  </si>
  <si>
    <t>前後鬼神の陣</t>
    <phoneticPr fontId="1"/>
  </si>
  <si>
    <t>民衆の味方</t>
    <phoneticPr fontId="1"/>
  </si>
  <si>
    <t>鞠姫が織り成す広報</t>
    <phoneticPr fontId="1"/>
  </si>
  <si>
    <t>ししおうれおにだす</t>
    <phoneticPr fontId="1"/>
  </si>
  <si>
    <t>16+竜+竜+13+(15+竜+竜+竜+14),9,10,13</t>
    <rPh sb="3" eb="4">
      <t>リュウ</t>
    </rPh>
    <rPh sb="14" eb="15">
      <t>リュウ</t>
    </rPh>
    <phoneticPr fontId="1"/>
  </si>
  <si>
    <t>しんせいおいらんいわながひめ</t>
    <phoneticPr fontId="1"/>
  </si>
  <si>
    <t>しんせいかいへいさかもとおとめ</t>
    <phoneticPr fontId="1"/>
  </si>
  <si>
    <t>しんせいえんのおづぬ</t>
    <phoneticPr fontId="1"/>
  </si>
  <si>
    <t>しんせいいべこんみょうきゅう</t>
    <phoneticPr fontId="1"/>
  </si>
  <si>
    <t>しんせいおんなぎぞく</t>
    <phoneticPr fontId="1"/>
  </si>
  <si>
    <t>処10+10+10 処10+10 処10,多数</t>
    <rPh sb="0" eb="1">
      <t>トコロ</t>
    </rPh>
    <rPh sb="10" eb="11">
      <t>ショ</t>
    </rPh>
    <rPh sb="17" eb="18">
      <t>トコロ</t>
    </rPh>
    <rPh sb="21" eb="23">
      <t>タスウ</t>
    </rPh>
    <phoneticPr fontId="1"/>
  </si>
  <si>
    <t>処10+10+10  処10+10 処10,多数</t>
    <rPh sb="0" eb="1">
      <t>トコロ</t>
    </rPh>
    <rPh sb="22" eb="24">
      <t>タスウ</t>
    </rPh>
    <phoneticPr fontId="1"/>
  </si>
  <si>
    <t>てんくろさまーすとーりーみずぎびじょのきょうえん</t>
    <phoneticPr fontId="1"/>
  </si>
  <si>
    <t>てんくろさまーすとーりーひがしのはまべ</t>
    <phoneticPr fontId="1"/>
  </si>
  <si>
    <t>てんくろさまーすとーりーにしのはまべ</t>
    <phoneticPr fontId="1"/>
  </si>
  <si>
    <t>(15+竜)+(12+11)+((15+9)+(14+10))</t>
    <phoneticPr fontId="1"/>
  </si>
  <si>
    <t>しんせいさんごくしよだべんぞう</t>
    <phoneticPr fontId="1"/>
  </si>
  <si>
    <t>しんせいすせりびめ</t>
    <phoneticPr fontId="1"/>
  </si>
  <si>
    <t>しんせいあるかひこのみこと</t>
    <phoneticPr fontId="1"/>
  </si>
  <si>
    <t>しんせいさどうはやみそうせい</t>
    <phoneticPr fontId="1"/>
  </si>
  <si>
    <t>処19+12+17 処19+17</t>
    <rPh sb="0" eb="1">
      <t>ショ</t>
    </rPh>
    <rPh sb="10" eb="11">
      <t>ショ</t>
    </rPh>
    <phoneticPr fontId="1"/>
  </si>
  <si>
    <t>19,18,18,17,12</t>
    <phoneticPr fontId="1"/>
  </si>
  <si>
    <t>処19+17+18 処18+12</t>
    <rPh sb="0" eb="1">
      <t>ショ</t>
    </rPh>
    <rPh sb="10" eb="11">
      <t>ショ</t>
    </rPh>
    <phoneticPr fontId="1"/>
  </si>
  <si>
    <t>しんせいおだいのかた</t>
    <phoneticPr fontId="1"/>
  </si>
  <si>
    <t>19,17,16,16</t>
    <phoneticPr fontId="1"/>
  </si>
  <si>
    <t>19+16+(17+16)</t>
    <phoneticPr fontId="1"/>
  </si>
  <si>
    <t>しょうぎからくりぎえもん</t>
    <phoneticPr fontId="1"/>
  </si>
  <si>
    <t>てんくろぱわーすぽっとにほんのらくえん</t>
  </si>
  <si>
    <t>てんくろぱわーすぽっとひがしのしまじま</t>
  </si>
  <si>
    <t>てんくろぱわーすぽっとにしのしまじま</t>
  </si>
  <si>
    <t>(16+竜)+(13+10)+((15+9)+(14+13))</t>
    <rPh sb="4" eb="5">
      <t>リュウ</t>
    </rPh>
    <phoneticPr fontId="4"/>
  </si>
  <si>
    <t>処19+14+(18+18),12</t>
    <rPh sb="0" eb="1">
      <t>ショ</t>
    </rPh>
    <phoneticPr fontId="1"/>
  </si>
  <si>
    <t>愛を奏でるミューズ</t>
    <phoneticPr fontId="1"/>
  </si>
  <si>
    <t>東日本→全国</t>
    <rPh sb="0" eb="1">
      <t>ヒガシ</t>
    </rPh>
    <rPh sb="1" eb="3">
      <t>ニホン</t>
    </rPh>
    <rPh sb="4" eb="6">
      <t>ゼンコク</t>
    </rPh>
    <phoneticPr fontId="2"/>
  </si>
  <si>
    <t>流星操りし脅威の光</t>
    <phoneticPr fontId="1"/>
  </si>
  <si>
    <t>無常の敦盛討ち</t>
    <phoneticPr fontId="1"/>
  </si>
  <si>
    <t>山口</t>
    <rPh sb="0" eb="2">
      <t>ヤマグチ</t>
    </rPh>
    <phoneticPr fontId="1"/>
  </si>
  <si>
    <t>関東</t>
    <rPh sb="0" eb="2">
      <t>カントウ</t>
    </rPh>
    <phoneticPr fontId="1"/>
  </si>
  <si>
    <t>大阪</t>
    <rPh sb="0" eb="2">
      <t>オオサカ</t>
    </rPh>
    <phoneticPr fontId="1"/>
  </si>
  <si>
    <t>色彩豊かに輝く宝石</t>
    <phoneticPr fontId="1"/>
  </si>
  <si>
    <t>風と消えゆる乙女の恋火</t>
    <phoneticPr fontId="1"/>
  </si>
  <si>
    <t>交錯する夢幻の世界</t>
    <phoneticPr fontId="1"/>
  </si>
  <si>
    <t>タイプ武人・姫の攻25％UP</t>
    <phoneticPr fontId="1"/>
  </si>
  <si>
    <t>アオザイにあわせる鉢の帽子</t>
    <phoneticPr fontId="1"/>
  </si>
  <si>
    <t>悲願の常陸統一</t>
    <phoneticPr fontId="1"/>
  </si>
  <si>
    <t>慕われた先帝</t>
    <phoneticPr fontId="1"/>
  </si>
  <si>
    <t>しんせいせんていさい</t>
    <phoneticPr fontId="1"/>
  </si>
  <si>
    <t>しんせいさたけよしのぶ</t>
    <phoneticPr fontId="1"/>
  </si>
  <si>
    <t>しんせいべとなむはちかづきひめ</t>
    <phoneticPr fontId="1"/>
  </si>
  <si>
    <t>しんせいひらはっこう</t>
    <phoneticPr fontId="1"/>
  </si>
  <si>
    <t>しんせいこうやひじり</t>
    <phoneticPr fontId="1"/>
  </si>
  <si>
    <t>しんせいしょうわれとろぽっぷさるかにがっせん</t>
    <phoneticPr fontId="1"/>
  </si>
  <si>
    <t>17,15,14,12,12</t>
    <phoneticPr fontId="1"/>
  </si>
  <si>
    <t>処17+12+12 処15+14</t>
    <rPh sb="0" eb="1">
      <t>ショ</t>
    </rPh>
    <rPh sb="10" eb="11">
      <t>ショ</t>
    </rPh>
    <phoneticPr fontId="1"/>
  </si>
  <si>
    <t>処17+11+(13+12),11 処9</t>
    <rPh sb="18" eb="19">
      <t>ショ</t>
    </rPh>
    <phoneticPr fontId="1"/>
  </si>
  <si>
    <t>しんせいこうわかまい</t>
    <phoneticPr fontId="1"/>
  </si>
  <si>
    <t>15,15,13,13</t>
    <phoneticPr fontId="1"/>
  </si>
  <si>
    <t>かふんしゅうらいほしがみさま</t>
    <phoneticPr fontId="1"/>
  </si>
  <si>
    <t>15+13+(15+13)</t>
    <phoneticPr fontId="1"/>
  </si>
  <si>
    <t>15,14,13,12,10,9</t>
    <phoneticPr fontId="1"/>
  </si>
  <si>
    <t>しのびあらきだれいじょ</t>
    <phoneticPr fontId="1"/>
  </si>
  <si>
    <t>処17+9+11 処13+11 処12</t>
    <rPh sb="0" eb="1">
      <t>ショ</t>
    </rPh>
    <rPh sb="9" eb="10">
      <t>ショ</t>
    </rPh>
    <rPh sb="16" eb="17">
      <t>ショ</t>
    </rPh>
    <phoneticPr fontId="1"/>
  </si>
  <si>
    <t>処18+12+13 処15+14</t>
    <rPh sb="0" eb="1">
      <t>ショ</t>
    </rPh>
    <rPh sb="10" eb="11">
      <t>ショ</t>
    </rPh>
    <phoneticPr fontId="1"/>
  </si>
  <si>
    <t>しのぶいけのぎょくらん</t>
    <phoneticPr fontId="1"/>
  </si>
  <si>
    <t>しのびにしなだいすけ</t>
    <phoneticPr fontId="1"/>
  </si>
  <si>
    <t>しんせいつきやまじんじゃおおうちよしたか</t>
    <phoneticPr fontId="1"/>
  </si>
  <si>
    <t>しんせいはなのだゆうなかのたけこ</t>
    <phoneticPr fontId="1"/>
  </si>
  <si>
    <t>処18+11+12 処14+13</t>
    <rPh sb="0" eb="1">
      <t>ショ</t>
    </rPh>
    <rPh sb="10" eb="11">
      <t>ショ</t>
    </rPh>
    <phoneticPr fontId="1"/>
  </si>
  <si>
    <t>そのぶぐをてににしのかた</t>
    <phoneticPr fontId="1"/>
  </si>
  <si>
    <t>そのぶぐをてにひがしのかた</t>
    <phoneticPr fontId="1"/>
  </si>
  <si>
    <t>そのぶぐをてにてんかのいっぴん</t>
    <phoneticPr fontId="1"/>
  </si>
  <si>
    <t>(15+9)+(13+10)+(14+12)</t>
    <phoneticPr fontId="1"/>
  </si>
  <si>
    <t>九州・沖縄</t>
    <rPh sb="0" eb="2">
      <t>キュウシュウ</t>
    </rPh>
    <rPh sb="3" eb="5">
      <t>オキナワ</t>
    </rPh>
    <phoneticPr fontId="1"/>
  </si>
  <si>
    <t>埼玉</t>
    <rPh sb="0" eb="2">
      <t>サイタマ</t>
    </rPh>
    <phoneticPr fontId="1"/>
  </si>
  <si>
    <t>高知</t>
    <rPh sb="0" eb="2">
      <t>コウチ</t>
    </rPh>
    <phoneticPr fontId="1"/>
  </si>
  <si>
    <t>宮城</t>
    <rPh sb="0" eb="2">
      <t>ミヤギ</t>
    </rPh>
    <phoneticPr fontId="1"/>
  </si>
  <si>
    <t>偉人</t>
    <rPh sb="0" eb="2">
      <t>イジン</t>
    </rPh>
    <phoneticPr fontId="1"/>
  </si>
  <si>
    <t>叩き斬る正義の生き様</t>
    <phoneticPr fontId="1"/>
  </si>
  <si>
    <t>桜の下の宴会</t>
    <phoneticPr fontId="1"/>
  </si>
  <si>
    <t>小さき球に想いを込めて</t>
    <phoneticPr fontId="1"/>
  </si>
  <si>
    <t>たゆたう情操の恋歌</t>
    <phoneticPr fontId="1"/>
  </si>
  <si>
    <t>壁を搔い潜る飛躍</t>
    <phoneticPr fontId="1"/>
  </si>
  <si>
    <t>スパイクに指導の愛を込めて</t>
    <phoneticPr fontId="1"/>
  </si>
  <si>
    <t>女医の先駆け</t>
    <phoneticPr fontId="1"/>
  </si>
  <si>
    <t>笑顔を与える仁王曲</t>
    <phoneticPr fontId="1"/>
  </si>
  <si>
    <t>初歩から学ぶおてんばライフ</t>
    <phoneticPr fontId="1"/>
  </si>
  <si>
    <t>しんせいばすけねずみこぞう</t>
    <phoneticPr fontId="1"/>
  </si>
  <si>
    <t>しんせいおぎのぎんこ</t>
    <phoneticPr fontId="1"/>
  </si>
  <si>
    <t>しんせいすくーるらいふいろはひめ</t>
    <phoneticPr fontId="1"/>
  </si>
  <si>
    <t>しんせいぶらばんさかもとおとめ</t>
    <phoneticPr fontId="1"/>
  </si>
  <si>
    <t>17,14,14,13,12</t>
    <phoneticPr fontId="1"/>
  </si>
  <si>
    <t>しんせいばれーえびなりん</t>
    <phoneticPr fontId="1"/>
  </si>
  <si>
    <t>処13+7+8 処10+9</t>
    <rPh sb="0" eb="1">
      <t>ショ</t>
    </rPh>
    <rPh sb="8" eb="9">
      <t>ショ</t>
    </rPh>
    <phoneticPr fontId="1"/>
  </si>
  <si>
    <t>てんくろふぇありーずにしのようせいたち</t>
    <phoneticPr fontId="1"/>
  </si>
  <si>
    <t>てんくろふぇありーずひがしのようせいたち</t>
    <phoneticPr fontId="1"/>
  </si>
  <si>
    <t>(16+竜)+(13+10)+(15+9)+(14+13)</t>
    <rPh sb="4" eb="5">
      <t>リュウ</t>
    </rPh>
    <phoneticPr fontId="1"/>
  </si>
  <si>
    <t>てんくろふぇありーずみわくのようせいたち</t>
    <phoneticPr fontId="1"/>
  </si>
  <si>
    <t>しんせいすいえいくじょうたけこ</t>
    <phoneticPr fontId="1"/>
  </si>
  <si>
    <t>処17+12+13 処14+14</t>
    <rPh sb="0" eb="1">
      <t>ショ</t>
    </rPh>
    <rPh sb="10" eb="11">
      <t>ショ</t>
    </rPh>
    <phoneticPr fontId="1"/>
  </si>
  <si>
    <t>しんせいたっきゅうやまのうえのおくら</t>
    <phoneticPr fontId="1"/>
  </si>
  <si>
    <t>ばんちょうこてつ</t>
    <phoneticPr fontId="1"/>
  </si>
  <si>
    <t>君臨するヤンキー団長</t>
    <phoneticPr fontId="1"/>
  </si>
  <si>
    <t>赤と黒の道化</t>
    <phoneticPr fontId="1"/>
  </si>
  <si>
    <t>三日月光る山の主</t>
    <phoneticPr fontId="1"/>
  </si>
  <si>
    <t>青い目の白珍獣</t>
    <phoneticPr fontId="1"/>
  </si>
  <si>
    <t>草原に立つ縞模様</t>
    <phoneticPr fontId="1"/>
  </si>
  <si>
    <t>南極への旅</t>
    <phoneticPr fontId="1"/>
  </si>
  <si>
    <t>鋭い剣を持つ忠犬</t>
    <phoneticPr fontId="1"/>
  </si>
  <si>
    <t>佐賀</t>
    <phoneticPr fontId="1"/>
  </si>
  <si>
    <t>真っ赤な嘘つき</t>
    <phoneticPr fontId="1"/>
  </si>
  <si>
    <t>滋賀</t>
    <phoneticPr fontId="1"/>
  </si>
  <si>
    <t>猫のように詠う自由</t>
    <phoneticPr fontId="1"/>
  </si>
  <si>
    <t>タイプ【名物】の防20％UP</t>
    <phoneticPr fontId="1"/>
  </si>
  <si>
    <t>しんせいきゃっつぎしゅうもんいんのたんご</t>
    <phoneticPr fontId="1"/>
  </si>
  <si>
    <t>しんせいぐらんとしまうま</t>
    <phoneticPr fontId="1"/>
  </si>
  <si>
    <t>しんせいさるのおしり</t>
    <phoneticPr fontId="1"/>
  </si>
  <si>
    <t>しんせいとらんぷあきたいぬくん</t>
    <phoneticPr fontId="1"/>
  </si>
  <si>
    <t>17,15,14,13,12</t>
    <phoneticPr fontId="1"/>
  </si>
  <si>
    <t>雨乞い姫</t>
    <phoneticPr fontId="1"/>
  </si>
  <si>
    <t>東日本→全国</t>
    <rPh sb="0" eb="1">
      <t>ヒガシ</t>
    </rPh>
    <rPh sb="1" eb="3">
      <t>ニホン</t>
    </rPh>
    <phoneticPr fontId="1"/>
  </si>
  <si>
    <t>聡明なる皇女の癒し</t>
    <phoneticPr fontId="1"/>
  </si>
  <si>
    <t>儚き瑠璃の輝き</t>
    <phoneticPr fontId="1"/>
  </si>
  <si>
    <t>会津若松の守護姫</t>
    <phoneticPr fontId="1"/>
  </si>
  <si>
    <t>日向御前主義</t>
    <phoneticPr fontId="1"/>
  </si>
  <si>
    <t>十二ヶ条の戒め</t>
    <phoneticPr fontId="1"/>
  </si>
  <si>
    <t>愛されし姫の悲劇</t>
    <phoneticPr fontId="1"/>
  </si>
  <si>
    <t>ご飯のオトモにアナジャコを</t>
    <phoneticPr fontId="1"/>
  </si>
  <si>
    <t>タイプ【神秘】の防25％UP</t>
    <phoneticPr fontId="1"/>
  </si>
  <si>
    <t>茨城</t>
    <phoneticPr fontId="1"/>
  </si>
  <si>
    <t>大海の波に揺られる湯船</t>
    <phoneticPr fontId="1"/>
  </si>
  <si>
    <t>タイプ【偉人】の攻20％UP</t>
    <phoneticPr fontId="1"/>
  </si>
  <si>
    <t>処8+6+7 処8+5 処8 処多数</t>
    <rPh sb="0" eb="1">
      <t>トコロ</t>
    </rPh>
    <rPh sb="7" eb="8">
      <t>ショ</t>
    </rPh>
    <rPh sb="12" eb="13">
      <t>ショ</t>
    </rPh>
    <rPh sb="15" eb="16">
      <t>トコロ</t>
    </rPh>
    <rPh sb="16" eb="18">
      <t>タスウ</t>
    </rPh>
    <phoneticPr fontId="1"/>
  </si>
  <si>
    <t>しんせいあなじゃこどん</t>
    <phoneticPr fontId="1"/>
  </si>
  <si>
    <t>しんせいおふろねねこかっぱ</t>
    <phoneticPr fontId="1"/>
  </si>
  <si>
    <t>しんせいくにひめ</t>
    <phoneticPr fontId="1"/>
  </si>
  <si>
    <t>しんせいこまひめ</t>
    <phoneticPr fontId="1"/>
  </si>
  <si>
    <t>とくせんふるーつもりあわせだいしゅうごう</t>
    <phoneticPr fontId="1"/>
  </si>
  <si>
    <t>ぼうねんかいいいなおまさ</t>
    <phoneticPr fontId="1"/>
  </si>
  <si>
    <t>とくせんふるーつもりあわせひがしのふるーつ</t>
    <phoneticPr fontId="1"/>
  </si>
  <si>
    <t>とくせんふるーつもりあわせにしのふるーつ</t>
    <phoneticPr fontId="1"/>
  </si>
  <si>
    <t>20+15+(17+15),16(ガチャ),18(ガチャ)</t>
    <phoneticPr fontId="1"/>
  </si>
  <si>
    <t>ID</t>
    <phoneticPr fontId="1"/>
  </si>
  <si>
    <t>熊本</t>
    <rPh sb="0" eb="2">
      <t>クマモト</t>
    </rPh>
    <phoneticPr fontId="1"/>
  </si>
  <si>
    <t>東京</t>
    <rPh sb="0" eb="2">
      <t>トウキョウ</t>
    </rPh>
    <phoneticPr fontId="1"/>
  </si>
  <si>
    <t>福島</t>
    <rPh sb="0" eb="2">
      <t>フクシマ</t>
    </rPh>
    <phoneticPr fontId="1"/>
  </si>
  <si>
    <t>一人ぼっちの七夕流し</t>
    <phoneticPr fontId="1"/>
  </si>
  <si>
    <t>替え玉上等〆の一杯</t>
    <phoneticPr fontId="1"/>
  </si>
  <si>
    <t>瀬戸内の占星術師</t>
    <phoneticPr fontId="1"/>
  </si>
  <si>
    <t>襲いかかる激辛トウガラシ</t>
    <phoneticPr fontId="1"/>
  </si>
  <si>
    <t>正義の乙女印キャンディー</t>
    <phoneticPr fontId="1"/>
  </si>
  <si>
    <t>石狩の食い頃お鍋</t>
    <phoneticPr fontId="1"/>
  </si>
  <si>
    <t>水々しき夏瓜</t>
    <phoneticPr fontId="1"/>
  </si>
  <si>
    <t>麻布の化け物猫又</t>
    <phoneticPr fontId="1"/>
  </si>
  <si>
    <t>突撃大将の討ち取り</t>
    <phoneticPr fontId="1"/>
  </si>
  <si>
    <t>タイプ【伝承】の防20％UP</t>
    <phoneticPr fontId="1"/>
  </si>
  <si>
    <t>しんせいせいざぺろぺろきゃんでぃーちゃん</t>
    <phoneticPr fontId="1"/>
  </si>
  <si>
    <t>しんせいせいざあざぶのおおねこ</t>
    <phoneticPr fontId="1"/>
  </si>
  <si>
    <t>しんせいあいづまさむねがもううじさと</t>
    <phoneticPr fontId="1"/>
  </si>
  <si>
    <t>しんせいすいかちゃん</t>
    <phoneticPr fontId="1"/>
  </si>
  <si>
    <t>しんせいつきのわぐま</t>
    <phoneticPr fontId="1"/>
  </si>
  <si>
    <t>処17+12+13 処15+14</t>
    <rPh sb="0" eb="1">
      <t>ショ</t>
    </rPh>
    <rPh sb="10" eb="11">
      <t>ショ</t>
    </rPh>
    <phoneticPr fontId="1"/>
  </si>
  <si>
    <t>16+13+13+14+15,9,10</t>
    <phoneticPr fontId="1"/>
  </si>
  <si>
    <t>ほしよみのるーるー</t>
    <phoneticPr fontId="1"/>
  </si>
  <si>
    <t>読み方</t>
    <rPh sb="0" eb="1">
      <t>ヨ</t>
    </rPh>
    <rPh sb="2" eb="3">
      <t>カタ</t>
    </rPh>
    <phoneticPr fontId="1"/>
  </si>
  <si>
    <t>SSR</t>
  </si>
  <si>
    <t>SSR</t>
    <phoneticPr fontId="1"/>
  </si>
  <si>
    <t>しんせいいしかりなべちゃん</t>
    <phoneticPr fontId="1"/>
  </si>
  <si>
    <t>処13+7+8 処10+9</t>
    <rPh sb="0" eb="1">
      <t>トコロ</t>
    </rPh>
    <rPh sb="8" eb="9">
      <t>トコロ</t>
    </rPh>
    <phoneticPr fontId="1"/>
  </si>
  <si>
    <t>しんせいたいわんらーめん</t>
    <phoneticPr fontId="1"/>
  </si>
  <si>
    <t>しんせいうらないしおりーぶちゃん</t>
    <phoneticPr fontId="1"/>
  </si>
  <si>
    <t>処19+12+15 処18+18</t>
    <rPh sb="0" eb="1">
      <t>ショ</t>
    </rPh>
    <rPh sb="10" eb="11">
      <t>ショ</t>
    </rPh>
    <phoneticPr fontId="1"/>
  </si>
  <si>
    <t>処多数</t>
    <rPh sb="0" eb="1">
      <t>トコロ</t>
    </rPh>
    <rPh sb="1" eb="3">
      <t>タスウ</t>
    </rPh>
    <phoneticPr fontId="1"/>
  </si>
  <si>
    <t>たなばたとやまぶらっく</t>
    <phoneticPr fontId="1"/>
  </si>
  <si>
    <t>16(古豪戦傑ガチャ)+12+13</t>
    <rPh sb="3" eb="5">
      <t>コゴウ</t>
    </rPh>
    <rPh sb="5" eb="6">
      <t>セン</t>
    </rPh>
    <rPh sb="6" eb="7">
      <t>ケツ</t>
    </rPh>
    <phoneticPr fontId="1"/>
  </si>
  <si>
    <t>真夏の天クロ大祭</t>
    <phoneticPr fontId="1"/>
  </si>
  <si>
    <t>みやびわがっきしょうきょくさいてんかつ</t>
    <phoneticPr fontId="1"/>
  </si>
  <si>
    <t>みやびわがっきいそのかみつゆこ</t>
    <phoneticPr fontId="1"/>
  </si>
  <si>
    <t>嘘吐き病</t>
    <rPh sb="0" eb="1">
      <t>ウソ</t>
    </rPh>
    <rPh sb="1" eb="2">
      <t>ハ</t>
    </rPh>
    <rPh sb="3" eb="4">
      <t>ビョウ</t>
    </rPh>
    <phoneticPr fontId="1"/>
  </si>
  <si>
    <t>タイプ飲食・武人の攻90%DOWN　/　タイプ偉人・名物の防30%UP</t>
    <rPh sb="3" eb="5">
      <t>インショク</t>
    </rPh>
    <rPh sb="6" eb="8">
      <t>ブジン</t>
    </rPh>
    <rPh sb="9" eb="10">
      <t>コウ</t>
    </rPh>
    <rPh sb="23" eb="25">
      <t>イジン</t>
    </rPh>
    <rPh sb="26" eb="28">
      <t>メイブツ</t>
    </rPh>
    <rPh sb="29" eb="30">
      <t>ボウ</t>
    </rPh>
    <phoneticPr fontId="1"/>
  </si>
  <si>
    <t>北海道</t>
    <rPh sb="0" eb="3">
      <t>ホッカイドウ</t>
    </rPh>
    <phoneticPr fontId="1"/>
  </si>
  <si>
    <t>しんせいころうか</t>
    <phoneticPr fontId="1"/>
  </si>
  <si>
    <t>灯りに浮かぶ妖鬼</t>
  </si>
  <si>
    <t>タイプ武人・姫の防80%DOWN　/　タイプ偉人・妖怪・名物の攻20%UP</t>
    <rPh sb="3" eb="5">
      <t>ブジン</t>
    </rPh>
    <rPh sb="6" eb="7">
      <t>ヒメ</t>
    </rPh>
    <rPh sb="8" eb="9">
      <t>ボウ</t>
    </rPh>
    <rPh sb="22" eb="24">
      <t>イジン</t>
    </rPh>
    <rPh sb="25" eb="27">
      <t>ヨウカイ</t>
    </rPh>
    <rPh sb="28" eb="30">
      <t>メイブツ</t>
    </rPh>
    <rPh sb="31" eb="32">
      <t>コウ</t>
    </rPh>
    <phoneticPr fontId="2"/>
  </si>
  <si>
    <t>しんせいりょうらんゆきづかいなりのびゃっこ</t>
    <phoneticPr fontId="1"/>
  </si>
  <si>
    <t>きょうふのびょうとううみざとう</t>
    <phoneticPr fontId="1"/>
  </si>
  <si>
    <t>しんせいゆうわくやまひめ</t>
    <phoneticPr fontId="1"/>
  </si>
  <si>
    <t>しんせいうみおんな</t>
    <phoneticPr fontId="1"/>
  </si>
  <si>
    <t>しんせいおきく</t>
    <phoneticPr fontId="1"/>
  </si>
  <si>
    <t>しんせいすすけちょうちん</t>
    <phoneticPr fontId="1"/>
  </si>
  <si>
    <t>しんせいこあくまるるこしんぷ</t>
    <phoneticPr fontId="1"/>
  </si>
  <si>
    <t>甘く包む真っ白なゴースト</t>
    <rPh sb="0" eb="1">
      <t>アマ</t>
    </rPh>
    <rPh sb="2" eb="3">
      <t>ツツ</t>
    </rPh>
    <rPh sb="4" eb="5">
      <t>マ</t>
    </rPh>
    <rPh sb="6" eb="7">
      <t>シロ</t>
    </rPh>
    <phoneticPr fontId="1"/>
  </si>
  <si>
    <t>タイプ【神秘】の攻20%UP</t>
    <rPh sb="4" eb="6">
      <t>シンピ</t>
    </rPh>
    <rPh sb="8" eb="9">
      <t>コウ</t>
    </rPh>
    <phoneticPr fontId="1"/>
  </si>
  <si>
    <t>甘く誘う魔界への道</t>
    <rPh sb="0" eb="1">
      <t>アマ</t>
    </rPh>
    <rPh sb="2" eb="3">
      <t>サソ</t>
    </rPh>
    <rPh sb="4" eb="6">
      <t>マカイ</t>
    </rPh>
    <rPh sb="8" eb="9">
      <t>ミチ</t>
    </rPh>
    <phoneticPr fontId="1"/>
  </si>
  <si>
    <t>タイプ【飲食】の防25%UP</t>
    <rPh sb="4" eb="6">
      <t>インショク</t>
    </rPh>
    <rPh sb="8" eb="9">
      <t>ボウ</t>
    </rPh>
    <phoneticPr fontId="1"/>
  </si>
  <si>
    <t>消えた皿の謎</t>
    <rPh sb="0" eb="1">
      <t>キ</t>
    </rPh>
    <rPh sb="3" eb="4">
      <t>サラ</t>
    </rPh>
    <rPh sb="5" eb="6">
      <t>ナゾ</t>
    </rPh>
    <phoneticPr fontId="1"/>
  </si>
  <si>
    <t>タイプ【名物】の攻25%UP</t>
    <rPh sb="4" eb="6">
      <t>メイブツ</t>
    </rPh>
    <rPh sb="8" eb="9">
      <t>コウ</t>
    </rPh>
    <phoneticPr fontId="1"/>
  </si>
  <si>
    <t>謎の業火</t>
    <rPh sb="0" eb="1">
      <t>ナゾ</t>
    </rPh>
    <rPh sb="2" eb="4">
      <t>ゴウカ</t>
    </rPh>
    <phoneticPr fontId="1"/>
  </si>
  <si>
    <t>タイプ偉人・名物の攻25%UP</t>
    <rPh sb="3" eb="5">
      <t>イジン</t>
    </rPh>
    <rPh sb="6" eb="8">
      <t>メイブツ</t>
    </rPh>
    <rPh sb="9" eb="10">
      <t>コウ</t>
    </rPh>
    <phoneticPr fontId="1"/>
  </si>
  <si>
    <t>吸い尽くす妖艶の声</t>
    <rPh sb="0" eb="1">
      <t>ス</t>
    </rPh>
    <rPh sb="2" eb="3">
      <t>ツ</t>
    </rPh>
    <rPh sb="5" eb="7">
      <t>ヨウエン</t>
    </rPh>
    <rPh sb="8" eb="9">
      <t>コエ</t>
    </rPh>
    <phoneticPr fontId="1"/>
  </si>
  <si>
    <t>タイプ【名物】の防35%UP　/　タイプ偉人・妖怪の防25%UP</t>
    <rPh sb="4" eb="6">
      <t>メイブツ</t>
    </rPh>
    <rPh sb="8" eb="9">
      <t>ボウ</t>
    </rPh>
    <rPh sb="20" eb="22">
      <t>イジン</t>
    </rPh>
    <rPh sb="23" eb="25">
      <t>ヨウカイ</t>
    </rPh>
    <rPh sb="26" eb="27">
      <t>ボウ</t>
    </rPh>
    <phoneticPr fontId="1"/>
  </si>
  <si>
    <t>海渡りの美女</t>
    <rPh sb="0" eb="1">
      <t>ウミ</t>
    </rPh>
    <rPh sb="1" eb="2">
      <t>ワタ</t>
    </rPh>
    <rPh sb="4" eb="6">
      <t>ビジョ</t>
    </rPh>
    <phoneticPr fontId="1"/>
  </si>
  <si>
    <t>タイプ【名物】の防30%UP　/　タイプ【偉人】の防20%UP</t>
    <rPh sb="4" eb="6">
      <t>メイブツ</t>
    </rPh>
    <rPh sb="8" eb="9">
      <t>ボウ</t>
    </rPh>
    <rPh sb="21" eb="23">
      <t>イジン</t>
    </rPh>
    <rPh sb="25" eb="26">
      <t>ボウ</t>
    </rPh>
    <phoneticPr fontId="1"/>
  </si>
  <si>
    <t>雪狐の神通力</t>
    <rPh sb="0" eb="1">
      <t>ユキ</t>
    </rPh>
    <rPh sb="1" eb="2">
      <t>キツネ</t>
    </rPh>
    <rPh sb="3" eb="6">
      <t>ジンツウリキ</t>
    </rPh>
    <phoneticPr fontId="1"/>
  </si>
  <si>
    <t>タイプ偉人・名物の攻30%UP　/　タイプ【妖怪】の攻20%UP</t>
    <rPh sb="3" eb="5">
      <t>イジン</t>
    </rPh>
    <rPh sb="6" eb="8">
      <t>メイブツ</t>
    </rPh>
    <rPh sb="9" eb="10">
      <t>コウ</t>
    </rPh>
    <rPh sb="22" eb="24">
      <t>ヨウカイ</t>
    </rPh>
    <rPh sb="26" eb="27">
      <t>コウ</t>
    </rPh>
    <phoneticPr fontId="1"/>
  </si>
  <si>
    <t>しんせいもんすたーましゅまろちゃん</t>
    <phoneticPr fontId="1"/>
  </si>
  <si>
    <t>福岡</t>
    <rPh sb="0" eb="2">
      <t>フクオカ</t>
    </rPh>
    <phoneticPr fontId="1"/>
  </si>
  <si>
    <t>滋賀</t>
    <rPh sb="0" eb="2">
      <t>シガ</t>
    </rPh>
    <phoneticPr fontId="1"/>
  </si>
  <si>
    <t>静岡</t>
    <rPh sb="0" eb="2">
      <t>シズオカ</t>
    </rPh>
    <phoneticPr fontId="1"/>
  </si>
  <si>
    <t>闇のテーマパーク</t>
    <phoneticPr fontId="1"/>
  </si>
  <si>
    <t>戦乱の剣豪将軍</t>
    <phoneticPr fontId="1"/>
  </si>
  <si>
    <t>恐れぬ決死の娘子隊</t>
    <phoneticPr fontId="1"/>
  </si>
  <si>
    <t>野山を駆けるは鉄の馬</t>
    <phoneticPr fontId="1"/>
  </si>
  <si>
    <t>君臨する狂気の王子</t>
    <phoneticPr fontId="1"/>
  </si>
  <si>
    <t>強弓を引くは馬上の姫</t>
    <phoneticPr fontId="1"/>
  </si>
  <si>
    <t>西軍の無双忠義</t>
    <phoneticPr fontId="1"/>
  </si>
  <si>
    <t>和歌集と戦歴に名を連ね</t>
    <phoneticPr fontId="1"/>
  </si>
  <si>
    <t>タイプ【飲食】の攻20％UP</t>
    <phoneticPr fontId="1"/>
  </si>
  <si>
    <t>死しても尽くす忠義</t>
    <phoneticPr fontId="1"/>
  </si>
  <si>
    <t>あいしょうえらとー</t>
    <phoneticPr fontId="1"/>
  </si>
  <si>
    <t>15+10+12+13+14,9</t>
    <phoneticPr fontId="1"/>
  </si>
  <si>
    <t>しんせいすわっとぎしゅうもんいんのたんご</t>
    <phoneticPr fontId="1"/>
  </si>
  <si>
    <t>しんせいさんごくしじゅけいに</t>
    <phoneticPr fontId="1"/>
  </si>
  <si>
    <t>しんせいたちばなむねしげ</t>
    <phoneticPr fontId="1"/>
  </si>
  <si>
    <t>しんせいばいくほうじょうさだとき</t>
    <phoneticPr fontId="1"/>
  </si>
  <si>
    <t>20,19,18,18,16</t>
    <phoneticPr fontId="1"/>
  </si>
  <si>
    <t>15,13,12</t>
    <phoneticPr fontId="1"/>
  </si>
  <si>
    <t>19,17,17,14,12</t>
    <phoneticPr fontId="1"/>
  </si>
  <si>
    <t>しんせいばじゅつはんがくごぜん</t>
    <phoneticPr fontId="1"/>
  </si>
  <si>
    <t>しんせいおにきりしゅうなかのたけこ</t>
    <phoneticPr fontId="1"/>
  </si>
  <si>
    <t>しんせいゔぃらんずとよとみひでより</t>
    <phoneticPr fontId="1"/>
  </si>
  <si>
    <t>しんせいせんにんづかあしかがよしてる</t>
    <phoneticPr fontId="1"/>
  </si>
  <si>
    <t>ゆうえんちはざーどそうよしとし</t>
    <phoneticPr fontId="1"/>
  </si>
  <si>
    <t>しんせいこうていぺんぎんちゃん</t>
    <phoneticPr fontId="1"/>
  </si>
  <si>
    <t>処17+9+11 処13+11 処12</t>
    <rPh sb="0" eb="1">
      <t>ショ</t>
    </rPh>
    <rPh sb="9" eb="10">
      <t>ショ</t>
    </rPh>
    <phoneticPr fontId="1"/>
  </si>
  <si>
    <t>しんせいほわいとたいがーさん</t>
    <phoneticPr fontId="1"/>
  </si>
  <si>
    <t>さくらおにうわばみやまざ</t>
    <phoneticPr fontId="1"/>
  </si>
  <si>
    <t>しんせいばく</t>
    <phoneticPr fontId="1"/>
  </si>
  <si>
    <t>悪夢を喰らう神獣</t>
    <phoneticPr fontId="1"/>
  </si>
  <si>
    <t>悪しき女神の支配</t>
    <phoneticPr fontId="1"/>
  </si>
  <si>
    <t>ようかいたいせんじゃめがみ</t>
    <phoneticPr fontId="1"/>
  </si>
  <si>
    <t>しんせいまかいほわいとちょこちゃん</t>
    <phoneticPr fontId="1"/>
  </si>
  <si>
    <t>しんせいまじょっこうみじごくちゃん</t>
    <phoneticPr fontId="1"/>
  </si>
  <si>
    <t>しんせいぷーか</t>
    <phoneticPr fontId="1"/>
  </si>
  <si>
    <t>しんせいぴくしー</t>
    <phoneticPr fontId="1"/>
  </si>
  <si>
    <t>しんせいとろーる</t>
    <phoneticPr fontId="1"/>
  </si>
  <si>
    <t>しんせいひめばち</t>
    <phoneticPr fontId="1"/>
  </si>
  <si>
    <t>しんせいきゅうへいちらうん</t>
    <phoneticPr fontId="1"/>
  </si>
  <si>
    <t>白い闇から甘い混沌</t>
    <phoneticPr fontId="1"/>
  </si>
  <si>
    <t>コバルトブルーの魔女っこ</t>
    <phoneticPr fontId="1"/>
  </si>
  <si>
    <t>ケルトの変身名人</t>
    <phoneticPr fontId="1"/>
  </si>
  <si>
    <t>イギリスの妖精軍団</t>
    <phoneticPr fontId="1"/>
  </si>
  <si>
    <t>筋肉に包まれた妖精</t>
    <phoneticPr fontId="1"/>
  </si>
  <si>
    <t>寄生する多種生態系</t>
    <phoneticPr fontId="1"/>
  </si>
  <si>
    <t>イメチェン大好きモンゴル弓兵</t>
    <phoneticPr fontId="1"/>
  </si>
  <si>
    <t>19,16,15,14,12</t>
    <phoneticPr fontId="1"/>
  </si>
  <si>
    <t>18,18,18,18,16</t>
    <phoneticPr fontId="1"/>
  </si>
  <si>
    <t>処19+12+15 処16+14</t>
    <rPh sb="0" eb="1">
      <t>ショ</t>
    </rPh>
    <rPh sb="10" eb="11">
      <t>ショ</t>
    </rPh>
    <phoneticPr fontId="1"/>
  </si>
  <si>
    <t>さーかすあかがみとくろかみ</t>
    <phoneticPr fontId="1"/>
  </si>
  <si>
    <t>さーかすいばらきやんきー</t>
    <phoneticPr fontId="1"/>
  </si>
  <si>
    <t>三重</t>
    <rPh sb="0" eb="2">
      <t>ミエ</t>
    </rPh>
    <phoneticPr fontId="1"/>
  </si>
  <si>
    <t>愛知</t>
    <rPh sb="0" eb="2">
      <t>アイチ</t>
    </rPh>
    <phoneticPr fontId="1"/>
  </si>
  <si>
    <t>茨城</t>
    <rPh sb="0" eb="2">
      <t>イバラギ</t>
    </rPh>
    <phoneticPr fontId="1"/>
  </si>
  <si>
    <t>しんせいゆきのおうこくいぬがしらのみたまのかみ</t>
    <phoneticPr fontId="1"/>
  </si>
  <si>
    <t>しんせいこすもすあかしれじーな</t>
    <phoneticPr fontId="1"/>
  </si>
  <si>
    <t>しんせいせっきあしかがうじひめ</t>
    <phoneticPr fontId="1"/>
  </si>
  <si>
    <t>しんせいにほんしんわまつおばしょう</t>
    <phoneticPr fontId="1"/>
  </si>
  <si>
    <t>しんせいかつかいしゅう</t>
    <phoneticPr fontId="1"/>
  </si>
  <si>
    <t>しんせいまがつひのかみ</t>
    <phoneticPr fontId="1"/>
  </si>
  <si>
    <t>処13+11+11 処12+9</t>
    <rPh sb="0" eb="1">
      <t>ショ</t>
    </rPh>
    <rPh sb="10" eb="11">
      <t>ショ</t>
    </rPh>
    <phoneticPr fontId="1"/>
  </si>
  <si>
    <t>しんせいこあくまあしやどうまん</t>
    <phoneticPr fontId="1"/>
  </si>
  <si>
    <t>処17+13+14 処15+12</t>
    <rPh sb="0" eb="1">
      <t>ショ</t>
    </rPh>
    <rPh sb="10" eb="11">
      <t>ショ</t>
    </rPh>
    <phoneticPr fontId="1"/>
  </si>
  <si>
    <t>17,17,17,16,15</t>
    <phoneticPr fontId="1"/>
  </si>
  <si>
    <t>伝教大師の導き</t>
    <phoneticPr fontId="1"/>
  </si>
  <si>
    <t>しんせいさいちょう</t>
    <phoneticPr fontId="1"/>
  </si>
  <si>
    <t>ゆきももじいずものおくに</t>
    <phoneticPr fontId="1"/>
  </si>
  <si>
    <t>タイプ偉人・妖怪・名物の攻45％UP</t>
    <phoneticPr fontId="1"/>
  </si>
  <si>
    <t>紅葉が染まり、雪が降る</t>
    <phoneticPr fontId="1"/>
  </si>
  <si>
    <t>比肩する最強陰陽師</t>
    <phoneticPr fontId="1"/>
  </si>
  <si>
    <t>災厄より生まれし神</t>
    <phoneticPr fontId="1"/>
  </si>
  <si>
    <t>純潔と優しさの医療</t>
    <phoneticPr fontId="1"/>
  </si>
  <si>
    <t>稀代の外交手腕</t>
    <phoneticPr fontId="1"/>
  </si>
  <si>
    <t>天上世界への旅</t>
    <phoneticPr fontId="1"/>
  </si>
  <si>
    <t>犬は喜び雪駆け回る</t>
    <phoneticPr fontId="1"/>
  </si>
  <si>
    <t>雪山で貫く嫡流の血</t>
    <phoneticPr fontId="1"/>
  </si>
  <si>
    <t>しんせいとくひめ</t>
    <phoneticPr fontId="1"/>
  </si>
  <si>
    <t>16,14,13,13,10,9</t>
    <phoneticPr fontId="1"/>
  </si>
  <si>
    <t>16+10+13+13+14,9</t>
    <phoneticPr fontId="1"/>
  </si>
  <si>
    <t>しんせいこうりんこうじょかずのみや</t>
    <phoneticPr fontId="1"/>
  </si>
  <si>
    <t>しんせいまつだいらてる</t>
    <phoneticPr fontId="1"/>
  </si>
  <si>
    <t>18,15,15,14,12</t>
    <phoneticPr fontId="1"/>
  </si>
  <si>
    <t>処18+14+15 処15+12</t>
    <rPh sb="0" eb="1">
      <t>ショ</t>
    </rPh>
    <rPh sb="10" eb="11">
      <t>ショ</t>
    </rPh>
    <phoneticPr fontId="1"/>
  </si>
  <si>
    <t>しんせいおるりのかた</t>
    <phoneticPr fontId="1"/>
  </si>
  <si>
    <t>16,15,15,15</t>
    <phoneticPr fontId="1"/>
  </si>
  <si>
    <t>あめひめのぎゃくしゅうのうひめ</t>
    <phoneticPr fontId="1"/>
  </si>
  <si>
    <t>倉庫行き</t>
    <rPh sb="0" eb="2">
      <t>ソウコ</t>
    </rPh>
    <rPh sb="2" eb="3">
      <t>イ</t>
    </rPh>
    <phoneticPr fontId="1"/>
  </si>
  <si>
    <t>15(↑進化後20・古豪ガチャ)+13+(14+14)</t>
    <rPh sb="4" eb="6">
      <t>シンカ</t>
    </rPh>
    <rPh sb="6" eb="7">
      <t>ゴ</t>
    </rPh>
    <rPh sb="10" eb="12">
      <t>コゴウ</t>
    </rPh>
    <phoneticPr fontId="1"/>
  </si>
  <si>
    <t>しんせいとんこつらーめん</t>
    <phoneticPr fontId="1"/>
  </si>
  <si>
    <t>岐阜</t>
    <rPh sb="0" eb="2">
      <t>ギフ</t>
    </rPh>
    <phoneticPr fontId="1"/>
  </si>
  <si>
    <t>聖夜への呪言</t>
    <phoneticPr fontId="1"/>
  </si>
  <si>
    <t>天を衝く英雄の矢</t>
    <phoneticPr fontId="1"/>
  </si>
  <si>
    <t>極寒の哀情歌</t>
    <phoneticPr fontId="1"/>
  </si>
  <si>
    <t>クリスマス襲撃作戦！</t>
    <phoneticPr fontId="1"/>
  </si>
  <si>
    <t>織り込まれる淡雪の想い</t>
    <phoneticPr fontId="1"/>
  </si>
  <si>
    <t>タイプ武人・姫の防25％UP</t>
    <phoneticPr fontId="1"/>
  </si>
  <si>
    <t>茶釜狸の恩返し</t>
    <phoneticPr fontId="1"/>
  </si>
  <si>
    <t>運びましょう御馳走のプレゼント</t>
    <phoneticPr fontId="1"/>
  </si>
  <si>
    <t>トナカイ9兄弟の悪戯</t>
    <phoneticPr fontId="1"/>
  </si>
  <si>
    <t>厳冬の先にあるもの</t>
    <phoneticPr fontId="1"/>
  </si>
  <si>
    <t>しんせいあくとなかい</t>
    <phoneticPr fontId="1"/>
  </si>
  <si>
    <t>しんせいあおきしふゆひめ</t>
    <phoneticPr fontId="1"/>
  </si>
  <si>
    <t>しんせいくりすますかさじぞう</t>
    <phoneticPr fontId="1"/>
  </si>
  <si>
    <t>しんせいくりすますまむや</t>
    <phoneticPr fontId="1"/>
  </si>
  <si>
    <t>しんせいぶんぷくちゃがまおしょうさま</t>
    <phoneticPr fontId="1"/>
  </si>
  <si>
    <t>18,15,14,12,12</t>
    <phoneticPr fontId="1"/>
  </si>
  <si>
    <t>予倉庫行き</t>
    <rPh sb="0" eb="1">
      <t>ヨ</t>
    </rPh>
    <rPh sb="1" eb="3">
      <t>ソウコ</t>
    </rPh>
    <rPh sb="3" eb="4">
      <t>イ</t>
    </rPh>
    <phoneticPr fontId="1"/>
  </si>
  <si>
    <t>無所属→全国</t>
    <rPh sb="0" eb="3">
      <t>ムショゾク</t>
    </rPh>
    <rPh sb="4" eb="6">
      <t>ゼンコク</t>
    </rPh>
    <phoneticPr fontId="1"/>
  </si>
  <si>
    <t>鬼の宿る羽子板</t>
    <phoneticPr fontId="1"/>
  </si>
  <si>
    <t>豊作奉納の神酒</t>
    <phoneticPr fontId="1"/>
  </si>
  <si>
    <t>円弧を描く一筋の羽根</t>
    <phoneticPr fontId="1"/>
  </si>
  <si>
    <t>恋する女の熱き戦い</t>
    <phoneticPr fontId="1"/>
  </si>
  <si>
    <t>尾張を守る傾国の美女</t>
    <phoneticPr fontId="1"/>
  </si>
  <si>
    <t>タイプ神秘・飲食の防25％UP</t>
    <phoneticPr fontId="1"/>
  </si>
  <si>
    <t>西洋寓話の挿絵書き</t>
    <phoneticPr fontId="1"/>
  </si>
  <si>
    <t>女流の百七十五首</t>
    <phoneticPr fontId="1"/>
  </si>
  <si>
    <t>猫撫で声の恋女房</t>
    <phoneticPr fontId="1"/>
  </si>
  <si>
    <t>雄雄しき阿蘇に住む猫</t>
    <phoneticPr fontId="1"/>
  </si>
  <si>
    <t>しんせいおみきちゃん</t>
    <phoneticPr fontId="1"/>
  </si>
  <si>
    <t>しんせいうきよえひごこくのねこ</t>
    <phoneticPr fontId="1"/>
  </si>
  <si>
    <t>しんせいねこごぜん</t>
    <phoneticPr fontId="1"/>
  </si>
  <si>
    <t>しんせいひゃくにんいっしゅいせ</t>
    <phoneticPr fontId="1"/>
  </si>
  <si>
    <t>しんせいさいしょくけんびおいちのかた</t>
    <phoneticPr fontId="1"/>
  </si>
  <si>
    <t>18,18,18,17,16</t>
    <phoneticPr fontId="1"/>
  </si>
  <si>
    <t>はごいたたいせんおぎのぎんこ</t>
    <phoneticPr fontId="1"/>
  </si>
  <si>
    <t>しんせいすずきかそん</t>
    <phoneticPr fontId="1"/>
  </si>
  <si>
    <t>しんせいがんたんくすもとたかこ</t>
    <phoneticPr fontId="1"/>
  </si>
  <si>
    <t>しんせいおにきりしゅうくろひめ</t>
    <phoneticPr fontId="1"/>
  </si>
  <si>
    <t>和歌山</t>
    <rPh sb="0" eb="3">
      <t>ワカヤマ</t>
    </rPh>
    <phoneticPr fontId="1"/>
  </si>
  <si>
    <t>長野</t>
    <rPh sb="0" eb="2">
      <t>ナガノ</t>
    </rPh>
    <phoneticPr fontId="1"/>
  </si>
  <si>
    <t>鳥取</t>
    <rPh sb="0" eb="2">
      <t>トットリ</t>
    </rPh>
    <phoneticPr fontId="1"/>
  </si>
  <si>
    <t>湧き出る悪巧みの源泉</t>
    <phoneticPr fontId="1"/>
  </si>
  <si>
    <t>豪傑無双の鬼槍刃</t>
    <phoneticPr fontId="1"/>
  </si>
  <si>
    <t>月の輪飾る鬼熊</t>
    <phoneticPr fontId="1"/>
  </si>
  <si>
    <t>浅草金龍山の象徴</t>
    <phoneticPr fontId="1"/>
  </si>
  <si>
    <t>節分の訪れ花</t>
    <phoneticPr fontId="1"/>
  </si>
  <si>
    <t>７００年たち続ける城</t>
    <phoneticPr fontId="1"/>
  </si>
  <si>
    <t>海中の一刀</t>
    <phoneticPr fontId="1"/>
  </si>
  <si>
    <t>鞭と福豆の攻防戦</t>
    <phoneticPr fontId="1"/>
  </si>
  <si>
    <t>一流の教養</t>
    <phoneticPr fontId="1"/>
  </si>
  <si>
    <t>しんせいやまなとよくに</t>
    <phoneticPr fontId="1"/>
  </si>
  <si>
    <t>しんせいせつぶんそうちゃん</t>
    <phoneticPr fontId="1"/>
  </si>
  <si>
    <t>しんせいせつぶんもちづきちよめ</t>
    <phoneticPr fontId="1"/>
  </si>
  <si>
    <t>しんせいたちうおちゃん</t>
    <phoneticPr fontId="1"/>
  </si>
  <si>
    <t>しんせいあさくさのかみなりもん</t>
    <phoneticPr fontId="1"/>
  </si>
  <si>
    <t>しんせいおにこじまやたろう</t>
    <phoneticPr fontId="1"/>
  </si>
  <si>
    <t>しんせいせつぶんつきのわぐま</t>
    <phoneticPr fontId="1"/>
  </si>
  <si>
    <t>せつぶんはこねおんせんちゃん</t>
    <phoneticPr fontId="1"/>
  </si>
  <si>
    <t>しんせいおかじょう</t>
    <phoneticPr fontId="1"/>
  </si>
  <si>
    <t>ゆかたおなみひめ</t>
    <phoneticPr fontId="1"/>
  </si>
  <si>
    <t>?</t>
    <phoneticPr fontId="1"/>
  </si>
  <si>
    <t>童心に返る産科医</t>
    <phoneticPr fontId="1"/>
  </si>
  <si>
    <t>けものみずぎたかちほのみね</t>
    <phoneticPr fontId="1"/>
  </si>
  <si>
    <t>天上に輝く水着</t>
    <phoneticPr fontId="1"/>
  </si>
  <si>
    <t>しんせいばれんたいんうえすぎようざん</t>
    <phoneticPr fontId="1"/>
  </si>
  <si>
    <t>心臓に宿る切なき甘さ</t>
    <phoneticPr fontId="1"/>
  </si>
  <si>
    <t>14,</t>
    <phoneticPr fontId="1"/>
  </si>
  <si>
    <t>処14</t>
    <rPh sb="0" eb="1">
      <t>ショ</t>
    </rPh>
    <phoneticPr fontId="1"/>
  </si>
  <si>
    <t>しんせいなつまつりりょくそうがめ</t>
    <phoneticPr fontId="1"/>
  </si>
  <si>
    <t>熱気と高揚の夏祭り</t>
    <phoneticPr fontId="1"/>
  </si>
  <si>
    <t>しんせいりゅうきゅうびんがたちゃん</t>
    <phoneticPr fontId="1"/>
  </si>
  <si>
    <t>王朝の紅彩</t>
    <phoneticPr fontId="1"/>
  </si>
  <si>
    <t>しんせいきゅーぴっどるるこしんぷ</t>
    <phoneticPr fontId="1"/>
  </si>
  <si>
    <t>幸運を運ぶ憑き神</t>
    <phoneticPr fontId="1"/>
  </si>
  <si>
    <t>しんせいくさびらがみ</t>
    <phoneticPr fontId="1"/>
  </si>
  <si>
    <t>飢餓を救った天の恵み</t>
    <phoneticPr fontId="1"/>
  </si>
  <si>
    <t>しんせいおふろせいたいいん</t>
    <phoneticPr fontId="1"/>
  </si>
  <si>
    <t>清泰院の泉質比べ</t>
    <phoneticPr fontId="1"/>
  </si>
  <si>
    <t>しんせいくりすますかすてらちゃん</t>
    <phoneticPr fontId="1"/>
  </si>
  <si>
    <t>聖夜の主役はざらめで決まり</t>
    <phoneticPr fontId="1"/>
  </si>
  <si>
    <t>タイプ神秘・知性派の攻25％UP</t>
    <phoneticPr fontId="1"/>
  </si>
  <si>
    <t>しんせいくりきんとんちゃん</t>
    <phoneticPr fontId="1"/>
  </si>
  <si>
    <t>重陽の節句</t>
    <phoneticPr fontId="1"/>
  </si>
  <si>
    <t>21,19,19,18,16</t>
    <phoneticPr fontId="1"/>
  </si>
  <si>
    <t>処19+12+14 処17+17</t>
    <rPh sb="0" eb="1">
      <t>ショ</t>
    </rPh>
    <rPh sb="10" eb="11">
      <t>ショ</t>
    </rPh>
    <phoneticPr fontId="1"/>
  </si>
  <si>
    <t>20+18+(19+18),16</t>
    <phoneticPr fontId="1"/>
  </si>
  <si>
    <t>処19+12+14 処18+18</t>
    <rPh sb="0" eb="1">
      <t>ショ</t>
    </rPh>
    <rPh sb="10" eb="11">
      <t>ショ</t>
    </rPh>
    <phoneticPr fontId="1"/>
  </si>
  <si>
    <t>21+18+(19+19),16</t>
    <phoneticPr fontId="1"/>
  </si>
  <si>
    <t>しんせいおどりこあざいつるちよ</t>
    <phoneticPr fontId="1"/>
  </si>
  <si>
    <t>舞踊は身を助ける</t>
    <phoneticPr fontId="1"/>
  </si>
  <si>
    <t>佐賀</t>
    <rPh sb="0" eb="2">
      <t>サガ</t>
    </rPh>
    <phoneticPr fontId="1"/>
  </si>
  <si>
    <t>しんせいひけし</t>
    <phoneticPr fontId="1"/>
  </si>
  <si>
    <t>しんせいおだうじはる</t>
    <phoneticPr fontId="1"/>
  </si>
  <si>
    <t>しんせいしらぬい</t>
    <phoneticPr fontId="1"/>
  </si>
  <si>
    <t>しんせいてんぴ</t>
    <phoneticPr fontId="1"/>
  </si>
  <si>
    <t>しんせいくらぶふらりび</t>
    <phoneticPr fontId="1"/>
  </si>
  <si>
    <t>しんせいまかいむさしぼうべんけい</t>
    <phoneticPr fontId="1"/>
  </si>
  <si>
    <t>しんせいくまのふすみのかみ</t>
    <phoneticPr fontId="1"/>
  </si>
  <si>
    <t>せいかそうだつせんはつめのつぼね</t>
    <phoneticPr fontId="1"/>
  </si>
  <si>
    <t>しんせいろうやかんないり</t>
    <phoneticPr fontId="1"/>
  </si>
  <si>
    <t>聖なる灯火狙う女忍者</t>
    <phoneticPr fontId="1"/>
  </si>
  <si>
    <t>熊野に現れし隆隆たる炎神</t>
    <phoneticPr fontId="1"/>
  </si>
  <si>
    <t xml:space="preserve">垣間見る獣魂 </t>
    <phoneticPr fontId="1"/>
  </si>
  <si>
    <t>ふらり迷う心火</t>
    <phoneticPr fontId="1"/>
  </si>
  <si>
    <t>猛火による浄化</t>
    <phoneticPr fontId="1"/>
  </si>
  <si>
    <t>狐狼による第七の地獄</t>
    <phoneticPr fontId="1"/>
  </si>
  <si>
    <t>龍神の灯火</t>
    <phoneticPr fontId="1"/>
  </si>
  <si>
    <t>破壊消火</t>
    <phoneticPr fontId="1"/>
  </si>
  <si>
    <t>天庵の人望</t>
    <phoneticPr fontId="1"/>
  </si>
  <si>
    <t>タイプ偉人・神秘の攻50％UP　/　タイプ知性派・飲食の攻30％UP</t>
  </si>
  <si>
    <t>タイプ武人・姫・名物の攻30％UP　/　タイプ【伝承】の攻20％UP</t>
  </si>
  <si>
    <t>タイプ神秘・飲食の防25％UP　/　タイプ【知性派】の防20％UP</t>
  </si>
  <si>
    <t>タイプ偉人・妖怪・名物の攻35％UP　/　タイプ偉人・妖怪・名物の防15％DOWN</t>
  </si>
  <si>
    <t>タイプ伝承・武人・姫の防15％UP　/　タイプ神秘・飲食・知性派・伝承の攻15％DOWN</t>
  </si>
  <si>
    <t>タイプ姫・伝承の防12％UP　/　タイプ【伝承】の攻10％DOWN</t>
  </si>
  <si>
    <t>タイプ武人・伝承の防12％UP　/　タイプ【伝承】の攻10％DOWN</t>
  </si>
  <si>
    <t>タイプ偉人・妖怪の防30％UP　/　タイプ【名物】の防20％UP</t>
  </si>
  <si>
    <t>タイプ【妖怪】の攻35％UP　/　タイプ知性派・名物の攻25％UP</t>
  </si>
  <si>
    <t>タイプ【武人】の防85％UP　/　タイプ姫・伝承の防25％UP</t>
  </si>
  <si>
    <t>タイプ伝承・武人・姫の攻50％DOWN　/　タイプ知性派・飲食の防30％UP</t>
  </si>
  <si>
    <t>タイプ武人・姫の攻20％DOWN　/　タイプ知性派・飲食の防10％UP</t>
  </si>
  <si>
    <t>タイプ武人・伝承の攻30％UP　/　タイプ【姫】の攻20％UP</t>
  </si>
  <si>
    <t>タイプ【武人】の防35％UP　/　タイプ偉人・姫の防25％UP</t>
  </si>
  <si>
    <t>タイプ偉人・名物の防45%UP　/　タイプ【妖怪】の防15%UP</t>
    <rPh sb="3" eb="5">
      <t>イジン</t>
    </rPh>
    <rPh sb="6" eb="8">
      <t>メイブツ</t>
    </rPh>
    <rPh sb="9" eb="10">
      <t>ボウ</t>
    </rPh>
    <rPh sb="22" eb="24">
      <t>ヨウカイ</t>
    </rPh>
    <rPh sb="26" eb="27">
      <t>ボウ</t>
    </rPh>
    <phoneticPr fontId="1"/>
  </si>
  <si>
    <t>タイプ神秘・知性派の防35%UP　/　タイプ【飲食】の防20%UP</t>
    <rPh sb="3" eb="5">
      <t>シンピ</t>
    </rPh>
    <rPh sb="6" eb="8">
      <t>チセイ</t>
    </rPh>
    <rPh sb="8" eb="9">
      <t>ハ</t>
    </rPh>
    <rPh sb="10" eb="11">
      <t>ボウ</t>
    </rPh>
    <rPh sb="23" eb="25">
      <t>インショク</t>
    </rPh>
    <rPh sb="27" eb="28">
      <t>ボウ</t>
    </rPh>
    <phoneticPr fontId="1"/>
  </si>
  <si>
    <t>タイプ【神秘】の防20%UP　/　タイプ【飲食】の防15%UP</t>
    <rPh sb="4" eb="6">
      <t>シンピ</t>
    </rPh>
    <rPh sb="8" eb="9">
      <t>ボウ</t>
    </rPh>
    <rPh sb="21" eb="23">
      <t>インショク</t>
    </rPh>
    <rPh sb="25" eb="26">
      <t>ボウ</t>
    </rPh>
    <phoneticPr fontId="1"/>
  </si>
  <si>
    <t>タイプ【知性派】の防20%UP　/　タイプ【飲食】の防15%UP</t>
    <rPh sb="4" eb="6">
      <t>チセイ</t>
    </rPh>
    <rPh sb="6" eb="7">
      <t>ハ</t>
    </rPh>
    <rPh sb="9" eb="10">
      <t>ボウ</t>
    </rPh>
    <rPh sb="22" eb="24">
      <t>インショク</t>
    </rPh>
    <rPh sb="26" eb="27">
      <t>ボウ</t>
    </rPh>
    <phoneticPr fontId="1"/>
  </si>
  <si>
    <t>タイプ偉人・名物の攻30％UP　/　タイプ【妖怪】の攻20％UP</t>
  </si>
  <si>
    <t>タイプ【名物】の攻35％UP　/　タイプ妖怪・武人の攻25％UP</t>
  </si>
  <si>
    <t>タイプ【名物】の攻35％UP　/　タイプ【妖怪】の攻15％UP</t>
  </si>
  <si>
    <t>タイプ姫・伝承の防45％UP　/　タイプ【武人】の防30％UP</t>
  </si>
  <si>
    <t>タイプ神秘・知性派の防30％UP　/　タイプ【飲食】の防20％UP</t>
  </si>
  <si>
    <t>タイプ【神秘】の攻35％UP　/　タイプ姫・飲食の攻25％UP</t>
  </si>
  <si>
    <t>タイプ【知性派】の防35％UP　/　タイプ【飲食】の防15％UP</t>
  </si>
  <si>
    <t>タイプ伝承・武人・姫の攻40％UP　/　タイプ偉人・妖怪・名物の防10％DOWN</t>
  </si>
  <si>
    <t>タイプ妖怪・名物の防45％UP　/　タイプ【偉人】の防30％UP</t>
  </si>
  <si>
    <t>タイプ姫・伝承の防30％UP　/　タイプ【武人】の防20％UP</t>
  </si>
  <si>
    <t>タイプ【伝承】の攻35％UP　/　タイプ武人・神秘の攻25％UP</t>
  </si>
  <si>
    <t>タイプ神秘・知性派・飲食の攻35％UP　/　タイプ偉人・妖怪・名物の防10％DOWN</t>
  </si>
  <si>
    <t>タイプ神秘・飲食の攻15％UP　/　タイプ【名物】の防10％DOWN</t>
  </si>
  <si>
    <t>タイプ神秘・飲食の攻15％UP　/　タイプ【偉人】の防10％DOWN</t>
  </si>
  <si>
    <t>タイプ妖怪・名物の攻30％UP　/　タイプ【偉人】の攻20％UP</t>
  </si>
  <si>
    <t>タイプ【名物】の防35％UP　/　タイプ飲食・妖怪の防25％UP</t>
  </si>
  <si>
    <t>タイプ神秘・知性派・飲食の防35％UP　/　タイプ伝承・武人・姫の攻10％DOWN</t>
  </si>
  <si>
    <t>タイプ偉人・名物の攻30％UP　/　タイプ武人・姫の防75％DOWN</t>
  </si>
  <si>
    <t>タイプ【名物】の攻15％UP　/　タイプ【姫】の防10％DOWN</t>
  </si>
  <si>
    <t>タイプ【偉人】の攻15％UP　/　タイプ【武人】の防10％DOWN</t>
  </si>
  <si>
    <t>タイプ知性派・飲食の攻30％UP　/　タイプ【神秘】の攻20％UP</t>
  </si>
  <si>
    <t>タイプ【飲食】の攻35％UP　/　タイプ神秘・姫の攻25％UP</t>
  </si>
  <si>
    <t>タイプ【知性派】の防35％UP　/　タイプ【神秘】の防15％UP</t>
  </si>
  <si>
    <t>タイプ武人・伝承の防90％DOWN　/　タイプ偉人・名物の攻30％UP</t>
  </si>
  <si>
    <t>タイプ【武人】の防75％UP　/　タイプ姫・伝承の防25％UP</t>
  </si>
  <si>
    <t>タイプ【武人】の防30％UP　/　タイプ【伝承】の防10％UP</t>
  </si>
  <si>
    <t>タイプ偉人・名物の防30％UP　/　タイプ【妖怪】の防20％UP</t>
  </si>
  <si>
    <t>タイプ【名物】の攻35％UP　/　タイプ偉人・妖怪の攻25％UP</t>
  </si>
  <si>
    <t>タイプ【偉人】の防35％UP　/　タイプ【妖怪】の防15％UP</t>
  </si>
  <si>
    <t>タイプ伝承・武人・姫の防30％UP　/　タイプ武人・姫・伝承・飲食の攻13％DOWN</t>
  </si>
  <si>
    <t>タイプ偉人・妖怪・名物の攻10％UP　/　タイプ妖怪・名物・偉人・知性派の防20％DOWN</t>
  </si>
  <si>
    <t>タイプ偉人・妖怪の攻10％UP　/　タイプ【飲食】の防12％DOWN</t>
  </si>
  <si>
    <t>タイプ武人・姫の攻30％UP　/　タイプ【伝承】の攻20％UP</t>
  </si>
  <si>
    <t>タイプ【武人】の防35％UP　/　タイプ姫・伝承の防25％UP</t>
  </si>
  <si>
    <t>タイプ【武人】の攻35％UP　/　タイプ【伝承】の攻15％UP</t>
  </si>
  <si>
    <t>タイプ神秘・知性派・飲食の防40％UP　/　タイプ伝承・武人・姫の攻10％DOWN</t>
  </si>
  <si>
    <t>タイプ伝承・武人・姫の攻15％UP　/　タイプ神秘・飲食・知性派・伝承の防15％DOWN</t>
  </si>
  <si>
    <t>タイプ姫・伝承の攻12％UP　/　タイプ【伝承】の防10％DOWN</t>
  </si>
  <si>
    <t>タイプ武人・伝承の攻12％UP　/　タイプ【伝承】の防10％DOWN</t>
  </si>
  <si>
    <t>タイプ神秘・飲食の攻30％UP　/　タイプ【知性派】の攻20％UP</t>
  </si>
  <si>
    <t>タイプ【飲食】の防35％UP　/　タイプ神秘・知性派の防25％UP</t>
  </si>
  <si>
    <t>タイプ伝承・武人・姫の防50％DOWN　/　タイプ知性派・飲食の攻30％UP</t>
  </si>
  <si>
    <t>タイプ武人・姫の防20％DOWN　/　タイプ知性派・飲食の攻10％UP</t>
  </si>
  <si>
    <t>タイプ【名物】の防30％UP　/　タイプ【偉人】の防20％UP</t>
  </si>
  <si>
    <t>タイプ姫・伝承の攻25％UP　/　タイプ【武人】の攻10％UP</t>
  </si>
  <si>
    <t>タイプ神秘・知性派の攻35％UP　/　タイプ【飲食】の攻20％UP</t>
  </si>
  <si>
    <t>タイプ【神秘】の攻20％UP　/　タイプ【飲食】の攻15％UP</t>
  </si>
  <si>
    <t>タイプ【知性派】の攻20％UP　/　タイプ【飲食】の攻15％UP</t>
  </si>
  <si>
    <t>タイプ【伝承】の攻35％UP　/　タイプ武人・姫の攻25％UP</t>
  </si>
  <si>
    <t>タイプ【伝承】の攻30％UP　/　タイプ【武人】の攻20％UP</t>
  </si>
  <si>
    <t>タイプ伝承・武人・姫の防90％DOWN　/　タイプ知性派・飲食の攻20％UP</t>
  </si>
  <si>
    <t>タイプ姫・伝承の防15％UP　/　タイプ【武人】の防10％UP</t>
  </si>
  <si>
    <t>タイプ【飲食】の防30％UP　/　タイプ【知性派】の防20％UP</t>
  </si>
  <si>
    <t>タイプ【名物】の防35％UP　/　タイプ偉人・妖怪の防25％UP</t>
  </si>
  <si>
    <t>タイプ【名物】の防30％UP　/　タイプ【妖怪】の防20％UP</t>
  </si>
  <si>
    <t>タイプ伝承・武人・姫の攻80％DOWN　/　タイプ武人・姫の防25％UP</t>
  </si>
  <si>
    <t>タイプ妖怪・名物の攻45％UP　/　タイプ【偉人】の攻30％UP</t>
  </si>
  <si>
    <t>タイプ【武人】の防30％UP　/　タイプ【姫】の防20％UP</t>
  </si>
  <si>
    <t>タイプ神秘・知性派・飲食の防40％UP　/　タイプ武人・伝承の攻15％DOWN</t>
  </si>
  <si>
    <t>タイプ【武人】の防80％UP　/　タイプ姫・伝承の防20％UP</t>
  </si>
  <si>
    <t>タイプ【飲食】の防30％UP　/　タイプ【神秘】の防20％UP</t>
  </si>
  <si>
    <t>タイプ偉人・妖怪・名物の攻35％UP　/　タイプ伝承・武人・姫の防10％DOWN</t>
  </si>
  <si>
    <t>タイプ伝承・武人・姫の攻25％UP　/　タイプ神秘・知性派・飲食・武人の防13％DOWN</t>
  </si>
  <si>
    <t>タイプ【妖怪】の攻35％UP　/　タイプ偉人・名物の攻25％UP</t>
  </si>
  <si>
    <t>タイプ【妖怪】の攻30％UP　/　タイプ【偉人】の攻20％UP</t>
  </si>
  <si>
    <t>タイプ【武人】の攻80％UP　/　タイプ姫・伝承の攻20％UP</t>
  </si>
  <si>
    <t>タイプ【武人】の防30％UP　/　タイプ【伝承】の防20％UP</t>
  </si>
  <si>
    <t>タイプ【神秘】の攻35％UP　/　タイプ知性派・飲食の攻25％UP</t>
  </si>
  <si>
    <t>タイプ【神秘】の攻30％UP　/　タイプ【知性派】の攻20％UP</t>
  </si>
  <si>
    <t>タイプ姫・伝承の防25％UP　/　タイプ【武人】の防10％UP</t>
  </si>
  <si>
    <t>タイプ姫・伝承の攻15％UP　/　タイプ【武人】の攻10％UP</t>
  </si>
  <si>
    <t>タイプ姫・伝承の攻30％UP　/　タイプ【武人】の攻20％UP</t>
  </si>
  <si>
    <t>タイプ【伝承】の防35％UP　/　タイプ武人・姫の防25％UP</t>
  </si>
  <si>
    <t>タイプ【伝承】の防30％UP　/　タイプ【姫】の防20％UP</t>
  </si>
  <si>
    <t>タイプ武人・飲食・偉人の攻80％DOWN　/　タイプ知性派・飲食の防25％UP</t>
  </si>
  <si>
    <t>タイプ伝承・武人・姫の攻65％DOWN　/　タイプ知性派・飲食の防25％UP</t>
  </si>
  <si>
    <t>タイプ神秘・知性派の攻30％UP　/　タイプ【飲食】の攻20％UP</t>
  </si>
  <si>
    <t>タイプ【妖怪】の防35％UP　/　タイプ偉人・名物の防25％UP</t>
  </si>
  <si>
    <t>タイプ妖怪・名物の防30％UP　/　タイプ【偉人】の防20％UP</t>
  </si>
  <si>
    <t>タイプ【名物】の攻30％UP　/　タイプ【妖怪】の攻20％UP</t>
  </si>
  <si>
    <t>タイプ伝承・武人・姫の攻35％UP　/　タイプ伝承・武人・姫の防10％DOWN</t>
  </si>
  <si>
    <t>タイプ伝承・武人・姫の防65％DOWN　/　タイプ知性派・飲食の攻25％UP</t>
  </si>
  <si>
    <t>タイプ武人・姫の防30％UP　/　タイプ【伝承】の防20％UP</t>
  </si>
  <si>
    <t>タイプ【武人】の攻35％UP　/　タイプ姫・伝承の攻25％UP</t>
  </si>
  <si>
    <t>タイプ【武人】の攻30％UP　/　タイプ【姫】の攻20％UP</t>
  </si>
  <si>
    <t>タイプ神秘・知性派・飲食の攻40％UP　/　タイプ飲食・武人・名物の防10％DOWN</t>
  </si>
  <si>
    <t>タイプ神秘・知性派の防35％UP　/　タイプ【飲食】の防20％UP</t>
  </si>
  <si>
    <t>タイプ神秘・飲食の防30％UP　/　タイプ【知性派】の防20％UP</t>
  </si>
  <si>
    <t>タイプ【飲食】の攻35％UP　/　タイプ神秘・知性派の攻25％UP</t>
  </si>
  <si>
    <t>タイプ【飲食】の攻30％UP　/　タイプ【神秘】の攻20％UP</t>
  </si>
  <si>
    <t>タイプ偉人・妖怪・名物の攻35％UP　/　タイプ偉人・妖怪・名物の防10％DOWN</t>
  </si>
  <si>
    <t>タイプ伝承・武人・姫の防25％UP　/　タイプ神秘・知性派・飲食・武人の攻13％DOWN</t>
  </si>
  <si>
    <t>タイプ【武人】の攻85％UP　/　タイプ姫・伝承の攻25％UP</t>
  </si>
  <si>
    <t>タイプ【名物】の攻30％UP　/　タイプ【偉人】の攻20％UP</t>
  </si>
  <si>
    <t>画像</t>
    <rPh sb="0" eb="2">
      <t>ガゾウ</t>
    </rPh>
    <phoneticPr fontId="1"/>
  </si>
  <si>
    <t>【雅和楽器】松旭斎天勝</t>
    <phoneticPr fontId="1"/>
  </si>
  <si>
    <t>【雅和楽器】石上露子</t>
    <phoneticPr fontId="1"/>
  </si>
  <si>
    <t>登呂遺跡</t>
  </si>
  <si>
    <t>決戦！氷の国の御伽噺</t>
  </si>
  <si>
    <t>氷の国の御伽噺～Princess～</t>
  </si>
  <si>
    <t>氷の国の御伽噺～Queen～</t>
  </si>
  <si>
    <t>吉野ヶ里遺跡</t>
  </si>
  <si>
    <t>観音山古墳</t>
  </si>
  <si>
    <t>[新生]友ヶ島</t>
  </si>
  <si>
    <t>[新生]エンジェライト</t>
  </si>
  <si>
    <t>[新生]阿波犬</t>
  </si>
  <si>
    <t>[新生]温羅</t>
  </si>
  <si>
    <t>[新生]【豊穣】サガミ様</t>
  </si>
  <si>
    <t>昌泉院</t>
  </si>
  <si>
    <t>天クロ恋愛成就バレンタイン～Love～</t>
  </si>
  <si>
    <t>天クロ恋愛成就バレンタイン～Cookie～</t>
  </si>
  <si>
    <t>天クロ恋愛成就バレンタイン～Choco～</t>
  </si>
  <si>
    <t>藤原安子</t>
  </si>
  <si>
    <t>【羽州の鬼姫】義姫</t>
  </si>
  <si>
    <t>[新生]小宰相</t>
  </si>
  <si>
    <t>[新生]山手殿</t>
  </si>
  <si>
    <t>[新生]立花誾千代</t>
  </si>
  <si>
    <t>[新生]もろこしの青磁</t>
  </si>
  <si>
    <t>[新生]井口阿くり</t>
  </si>
  <si>
    <t>【今昔百鬼拾遺】芭蕉精</t>
  </si>
  <si>
    <t>食べつくし！今が旬！卵の宴</t>
  </si>
  <si>
    <t>今が旬！卵の宴～東～</t>
  </si>
  <si>
    <t>今が旬！卵の宴～西～</t>
  </si>
  <si>
    <t>槐の邪神</t>
  </si>
  <si>
    <t>樹木子</t>
  </si>
  <si>
    <t>[新生]玉藻前</t>
  </si>
  <si>
    <t>[新生]【繚乱】鍋島の化け猫</t>
  </si>
  <si>
    <t>[新生]赤手児</t>
  </si>
  <si>
    <t>[新生]かつお節</t>
  </si>
  <si>
    <t>[新生]南部利直</t>
  </si>
  <si>
    <t>デカ盛りお好み焼きちゃん</t>
  </si>
  <si>
    <t>天クロ自警団～天下泰平～</t>
  </si>
  <si>
    <t>天クロ自警団～東国見廻り～</t>
  </si>
  <si>
    <t>天クロ自警団～西国見廻り～</t>
  </si>
  <si>
    <t>デカ盛りスープカレー</t>
  </si>
  <si>
    <t>デカ盛りタコライス</t>
  </si>
  <si>
    <t>[新生]ひつまぶしちゃん</t>
  </si>
  <si>
    <t>[新生]お祝い鯛</t>
  </si>
  <si>
    <t>[新生]ブルーベリーちゃん</t>
  </si>
  <si>
    <t>[新生]秋山好古</t>
  </si>
  <si>
    <t>[新生]リンドウちゃん</t>
  </si>
  <si>
    <t>天クロ浮世絵師大集合</t>
  </si>
  <si>
    <t>天クロ浮世絵師～東の絵師～</t>
  </si>
  <si>
    <t>天クロ浮世絵師～西の絵師～</t>
  </si>
  <si>
    <t>天クロ盤面上の勝負士</t>
  </si>
  <si>
    <t>天クロ盤面上の勝負士～東の一手～</t>
  </si>
  <si>
    <t>天クロ盤面上の勝負士～西の一手～</t>
  </si>
  <si>
    <t>天クロ化ケモノ大集合</t>
  </si>
  <si>
    <t>天クロ化ケモノ大集合～東日本～</t>
  </si>
  <si>
    <t>天クロ化ケモノ大集合～西日本～</t>
  </si>
  <si>
    <t>天クロサマーストーリー水着美女の嬌艶</t>
  </si>
  <si>
    <t>天クロサマーストーリー～東の浜辺～</t>
  </si>
  <si>
    <t>天クロサマーストーリー～西の浜辺～</t>
  </si>
  <si>
    <t>天クロパワースポット日本の楽園</t>
  </si>
  <si>
    <t>天クロパワースポット～東の島々～</t>
  </si>
  <si>
    <t>天クロパワースポット～西の島々～</t>
  </si>
  <si>
    <t>其の武具を手に～天下の逸品～</t>
  </si>
  <si>
    <t>其の武具を手に～東の方～</t>
  </si>
  <si>
    <t>其の武具を手に～西の方～</t>
  </si>
  <si>
    <t>天クロフェアリーズ～魅惑の妖精達～</t>
  </si>
  <si>
    <t>天クロフェアリーズ～東の妖精達～</t>
  </si>
  <si>
    <t>天クロフェアリーズ～西の妖精達～</t>
  </si>
  <si>
    <t>特選！フルーツ盛り合わせ～大集合～</t>
  </si>
  <si>
    <t>特選！フルーツ盛り合わせ～東のフルーツ～</t>
  </si>
  <si>
    <t>特選！フルーツ盛り合わせ～西のフルーツ～</t>
  </si>
  <si>
    <t>【クリスマスウォー】人影花</t>
  </si>
  <si>
    <t>[新生]オキクルミ</t>
  </si>
  <si>
    <t>[新生]【幻獣】袖萩</t>
  </si>
  <si>
    <t>[新生]【いたずらサンタ】桃太郎</t>
  </si>
  <si>
    <t>[新生]【クリスマス】マムヤ</t>
  </si>
  <si>
    <t>[新生]【ぶんぶく茶釜】和尚さま</t>
  </si>
  <si>
    <t>[新生]【クリスマス】笠地蔵</t>
  </si>
  <si>
    <t>[新生]悪トナカイ</t>
  </si>
  <si>
    <t>[新生]【青騎士】冬姫</t>
  </si>
  <si>
    <t>【浴衣】阿南姫</t>
  </si>
  <si>
    <t>【獣水着】高千穂峰</t>
  </si>
  <si>
    <t>[新生]【クリスマス】カステラちゃん</t>
  </si>
  <si>
    <t>【雪紅葉】出雲阿国</t>
  </si>
  <si>
    <t>[新生]最澄</t>
  </si>
  <si>
    <t>[新生]【小悪魔】蘆屋道満</t>
  </si>
  <si>
    <t>[新生]マガツヒノカミ</t>
  </si>
  <si>
    <t>[新生]【コスモス】明石レジーナ</t>
  </si>
  <si>
    <t>[新生]勝海舟</t>
  </si>
  <si>
    <t>[新生]【日本神話】松尾芭蕉</t>
  </si>
  <si>
    <t>[新生]【雪の王国】イヌガシラノミタマノカミ</t>
  </si>
  <si>
    <t>[新生]【石器】足利氏姫</t>
  </si>
  <si>
    <t>[新生]【お風呂】清泰院</t>
  </si>
  <si>
    <t>【妖怪大戦】邪女神</t>
  </si>
  <si>
    <t>[新生]獏</t>
  </si>
  <si>
    <t>[新生]【魔界】ホワイトチョコちゃん</t>
  </si>
  <si>
    <t>[新生]【魔女っこ】海地獄ちゃん</t>
  </si>
  <si>
    <t>[新生]プーカ</t>
  </si>
  <si>
    <t>[新生]ピクシー</t>
  </si>
  <si>
    <t>[新生]トロール</t>
  </si>
  <si>
    <t>[新生]ヒメバチ</t>
  </si>
  <si>
    <t>[新生]弓兵チラウン</t>
  </si>
  <si>
    <t>[新生]【キューピッド】ルルコシンプ</t>
  </si>
  <si>
    <t>【遊園地ハザード】宗義智</t>
  </si>
  <si>
    <t>[新生]【千人塚】足利義輝</t>
  </si>
  <si>
    <t>[新生]【ヴィランズ】豊臣秀頼</t>
  </si>
  <si>
    <t>[新生]【鬼切衆】中野竹子</t>
  </si>
  <si>
    <t>[新生]【バイク】北条貞時</t>
  </si>
  <si>
    <t>[新生]【馬術】板額御前</t>
  </si>
  <si>
    <t>[新生]立花宗茂</t>
  </si>
  <si>
    <t>[新生]【SWAT】宜秋門院丹後</t>
  </si>
  <si>
    <t>[新生]【三国志】寿桂尼</t>
  </si>
  <si>
    <t>[新生]クサビラ神</t>
  </si>
  <si>
    <t>【恐怖の病棟】海座頭</t>
  </si>
  <si>
    <t>[新生]古籠火</t>
  </si>
  <si>
    <t>[新生]【繚乱】雪塚稲荷の白狐</t>
  </si>
  <si>
    <t>[新生]【誘惑】山姫</t>
  </si>
  <si>
    <t>[新生]海女</t>
  </si>
  <si>
    <t>[新生]煤け提灯</t>
  </si>
  <si>
    <t>[新生]お菊</t>
  </si>
  <si>
    <t>[新生]【小悪魔】ルルコシンプ</t>
  </si>
  <si>
    <t>[新生][MONSTER]マシュマロ</t>
  </si>
  <si>
    <t>[新生]【夏祭り】緑藻亀</t>
  </si>
  <si>
    <t>【七夕】富山ブラック</t>
  </si>
  <si>
    <t>[新生]とんこつラーメン</t>
  </si>
  <si>
    <t>[新生]【占い師】オリーブちゃん</t>
  </si>
  <si>
    <t>[新生]台湾ラーメン</t>
  </si>
  <si>
    <t>[新生]【星座】ぺろぺろキャンディーちゃん</t>
  </si>
  <si>
    <t>[新生]石狩鍋ちゃん</t>
  </si>
  <si>
    <t>[新生]スイカちゃん</t>
  </si>
  <si>
    <t>[新生]【星座】麻布の大猫</t>
  </si>
  <si>
    <t>[新生]【会津正宗】蒲生氏郷</t>
  </si>
  <si>
    <t>[新生]琉球びんがたちゃん</t>
  </si>
  <si>
    <t>【雨姫の逆襲】濃姫</t>
  </si>
  <si>
    <t>[新生]【降凛】皇女和宮</t>
  </si>
  <si>
    <t>[新生]お瑠璃の方</t>
  </si>
  <si>
    <t>[新生]松平照</t>
  </si>
  <si>
    <t>[新生]国姫</t>
  </si>
  <si>
    <t>[新生]徳姫</t>
  </si>
  <si>
    <t>[新生]駒姫</t>
  </si>
  <si>
    <t>[新生]アナジャコ丼</t>
  </si>
  <si>
    <t>[新生]【お風呂】ねねこ河童</t>
  </si>
  <si>
    <t>【サーカス】イバラキヤンキー</t>
  </si>
  <si>
    <t>【サーカス】赤神と黒神</t>
  </si>
  <si>
    <t>[新生]ツキノワグマ</t>
  </si>
  <si>
    <t>[新生]ホワイトタイガーさん</t>
  </si>
  <si>
    <t>[新生]グラントシマウマ</t>
  </si>
  <si>
    <t>[新生]コウテイペンギンちゃん</t>
  </si>
  <si>
    <t>[新生]【トランプ】アキタイヌくん</t>
  </si>
  <si>
    <t>[新生]猿のおしり</t>
  </si>
  <si>
    <t>[新生]【キャッツ】宜秋門院丹後</t>
  </si>
  <si>
    <t>【番長】虎徹</t>
  </si>
  <si>
    <t>【桜鬼】蟒蛇ヤマザ</t>
  </si>
  <si>
    <t>[新生]【卓球】山上憶良</t>
  </si>
  <si>
    <t>[新生]【水泳】九条武子</t>
  </si>
  <si>
    <t>[新生]【バスケ】鼠小僧</t>
  </si>
  <si>
    <t>[新生]【バレー】海老名りん</t>
  </si>
  <si>
    <t>[新生]荻野吟子</t>
  </si>
  <si>
    <t>[新生]【ブラバン】坂本乙女</t>
  </si>
  <si>
    <t>[新生]【スクールライフ】五郎八姫</t>
  </si>
  <si>
    <t>【花粉襲来】星神様</t>
  </si>
  <si>
    <t>【愛唱】エラトー</t>
  </si>
  <si>
    <t>[新生]幸若舞</t>
  </si>
  <si>
    <t>[新生]【昭和レトロポップ】さるかに合戦</t>
  </si>
  <si>
    <t>[新生]比良八荒</t>
  </si>
  <si>
    <t>[新生]高野聖</t>
  </si>
  <si>
    <t>[新生]【ベトナム】鉢かづき姫</t>
  </si>
  <si>
    <t>[新生]佐竹義宜</t>
  </si>
  <si>
    <t>[新生]先帝祭</t>
  </si>
  <si>
    <t>【将棋】からくり儀右衛門</t>
  </si>
  <si>
    <t>星読みのルールー</t>
  </si>
  <si>
    <t>[新生]於大の方</t>
  </si>
  <si>
    <t>[新生]【茶道】速水宗青</t>
  </si>
  <si>
    <t>[新生]【海兵】坂本乙女</t>
  </si>
  <si>
    <t>[新生]【三国志】依田勉三</t>
  </si>
  <si>
    <t>[新生]役小角</t>
  </si>
  <si>
    <t>[新生]女義賊</t>
  </si>
  <si>
    <t>[新生]【イベコン】妙玖</t>
  </si>
  <si>
    <t>【七福神】ワカウカノメノミコト</t>
  </si>
  <si>
    <t>獅子王レオニダス</t>
  </si>
  <si>
    <t>[新生]アルカヒコノミコト</t>
  </si>
  <si>
    <t>[新生]スセリビメ</t>
  </si>
  <si>
    <t>[新生]【美女神】ミヒカリヒメ</t>
  </si>
  <si>
    <t>[新生]【花魁】イワナガヒメ</t>
  </si>
  <si>
    <t>[新生]おしら様</t>
  </si>
  <si>
    <t>[新生]海御前</t>
  </si>
  <si>
    <t>[新生]寒川元家</t>
  </si>
  <si>
    <t>しんせいげんじゅうそではぎ</t>
    <phoneticPr fontId="1"/>
  </si>
  <si>
    <t>しんせいおきくるみ</t>
    <phoneticPr fontId="1"/>
  </si>
  <si>
    <t>くりすますうぉーひとかげはな</t>
    <phoneticPr fontId="1"/>
  </si>
  <si>
    <t>しんせいいたずらさんたももたろう</t>
    <phoneticPr fontId="1"/>
  </si>
  <si>
    <t>【羽子板大戦】荻野吟子</t>
  </si>
  <si>
    <t>[新生]お神酒ちゃん</t>
  </si>
  <si>
    <t>[新生]【元旦】楠本高子</t>
  </si>
  <si>
    <t>[新生]【鬼切衆】黒比売</t>
  </si>
  <si>
    <t>[新生]【才色兼備】お市の方</t>
  </si>
  <si>
    <t>[新生]鈴木華邨</t>
  </si>
  <si>
    <t>[新生]【百人一首】伊勢</t>
  </si>
  <si>
    <t>[新生]猫御前</t>
  </si>
  <si>
    <t>[新生]【浮世絵】肥後国の猫</t>
  </si>
  <si>
    <t>[新生]栗きんとんちゃん</t>
  </si>
  <si>
    <t>【節分】箱根温泉ちゃん</t>
  </si>
  <si>
    <t>[新生]鬼小島弥太郎</t>
  </si>
  <si>
    <t>[新生]【節分】ツキノワグマ</t>
  </si>
  <si>
    <t>[新生]浅草の雷門</t>
  </si>
  <si>
    <t>[新生]節分草ちゃん</t>
  </si>
  <si>
    <t>[新生]岡城</t>
  </si>
  <si>
    <t>[新生]タチウオちゃん</t>
  </si>
  <si>
    <t>[新生]【節分】望月千代女</t>
  </si>
  <si>
    <t>[新生]山名豊国</t>
  </si>
  <si>
    <t>[新生]【バレンタイン】上杉鷹山</t>
  </si>
  <si>
    <t>【聖火争奪戦】初芽局</t>
  </si>
  <si>
    <t>[新生]熊野牟須美神</t>
  </si>
  <si>
    <t>[新生]【魔界】武蔵坊弁慶</t>
  </si>
  <si>
    <t>[新生]【クラブ】ふらり火</t>
  </si>
  <si>
    <t>[新生]天火</t>
  </si>
  <si>
    <t>[新生]狼野干泥梨</t>
  </si>
  <si>
    <t>[新生]不知火</t>
  </si>
  <si>
    <t>[新生]火消し</t>
  </si>
  <si>
    <t>[新生]小田氏治</t>
  </si>
  <si>
    <t>[新生]【踊り子】浅井鶴千代</t>
  </si>
  <si>
    <t>18,14,14,13,12</t>
    <phoneticPr fontId="1"/>
  </si>
  <si>
    <t>17,17,16,16,16</t>
    <phoneticPr fontId="1"/>
  </si>
  <si>
    <t>スキル効果</t>
    <rPh sb="3" eb="5">
      <t>コウカ</t>
    </rPh>
    <phoneticPr fontId="1"/>
  </si>
  <si>
    <t>倉庫行き15+14</t>
    <rPh sb="0" eb="2">
      <t>ソウコ</t>
    </rPh>
    <rPh sb="2" eb="3">
      <t>イ</t>
    </rPh>
    <phoneticPr fontId="1"/>
  </si>
  <si>
    <t>[新生]【SHINOBI】堀田吉子</t>
    <phoneticPr fontId="1"/>
  </si>
  <si>
    <t>しんせいしのびほったきちこ</t>
    <phoneticPr fontId="1"/>
  </si>
  <si>
    <t>タイプ神秘・飲食の防20％UP</t>
    <phoneticPr fontId="1"/>
  </si>
  <si>
    <t>イベント報酬隊士紹介ページの一部隊士に誤りがある</t>
    <rPh sb="14" eb="16">
      <t>イチブ</t>
    </rPh>
    <phoneticPr fontId="1"/>
  </si>
  <si>
    <t>公式のインフォメーションにて以下のようなアナウンスがあった記憶あり</t>
    <rPh sb="0" eb="2">
      <t>コウシキ</t>
    </rPh>
    <rPh sb="14" eb="16">
      <t>イカ</t>
    </rPh>
    <rPh sb="29" eb="31">
      <t>キオク</t>
    </rPh>
    <phoneticPr fontId="1"/>
  </si>
  <si>
    <t>(誤)【SHINOBI】堀田吉子 → (正)[新生]【SHINOBI】堀田吉子</t>
    <rPh sb="1" eb="2">
      <t>ゴ</t>
    </rPh>
    <rPh sb="20" eb="21">
      <t>セイ</t>
    </rPh>
    <phoneticPr fontId="1"/>
  </si>
  <si>
    <t>【プロレス】北海道牛乳ちゃん</t>
    <phoneticPr fontId="1"/>
  </si>
  <si>
    <t>牛乳育ちの強靭レスラー</t>
    <phoneticPr fontId="1"/>
  </si>
  <si>
    <t>タイプ神秘・知性派・飲食の防40％UP</t>
    <phoneticPr fontId="1"/>
  </si>
  <si>
    <t>[新生]【一騎当千】前田慶次</t>
    <phoneticPr fontId="1"/>
  </si>
  <si>
    <t>[新生]【プロレス】乙姫</t>
    <phoneticPr fontId="1"/>
  </si>
  <si>
    <t>リングに滾る龍神の血</t>
    <phoneticPr fontId="1"/>
  </si>
  <si>
    <t>[新生]【カンフー】桂小五郎</t>
    <phoneticPr fontId="1"/>
  </si>
  <si>
    <t>武術極めし維新の勇</t>
    <phoneticPr fontId="1"/>
  </si>
  <si>
    <t>[新生]【ジム】千草</t>
    <phoneticPr fontId="1"/>
  </si>
  <si>
    <t>しなやかで柔らかな舞を</t>
    <phoneticPr fontId="1"/>
  </si>
  <si>
    <t>[新生]美人鬼姉さん</t>
    <phoneticPr fontId="1"/>
  </si>
  <si>
    <t>心優しい鬼の娘</t>
    <phoneticPr fontId="1"/>
  </si>
  <si>
    <t>[新生]【修行中】赤しゃぐま</t>
    <phoneticPr fontId="1"/>
  </si>
  <si>
    <t>いたずらのために鍛えた体</t>
    <phoneticPr fontId="1"/>
  </si>
  <si>
    <t>[新生]【天狗党】武田耕雲斎</t>
    <phoneticPr fontId="1"/>
  </si>
  <si>
    <t>吼えよ！天狗党の首領</t>
    <phoneticPr fontId="1"/>
  </si>
  <si>
    <t>[新生]【北辰一刀流】千葉周作</t>
    <phoneticPr fontId="1"/>
  </si>
  <si>
    <t>一刀流周作の床板壊し</t>
    <phoneticPr fontId="1"/>
  </si>
  <si>
    <t>タイプ【姫】の攻20％UP</t>
    <phoneticPr fontId="1"/>
  </si>
  <si>
    <t>処7+6+8 処多数</t>
    <rPh sb="0" eb="1">
      <t>トコロ</t>
    </rPh>
    <rPh sb="7" eb="8">
      <t>トコロ</t>
    </rPh>
    <rPh sb="8" eb="10">
      <t>タスウ</t>
    </rPh>
    <phoneticPr fontId="1"/>
  </si>
  <si>
    <t>[新生]【花見】三村鶴</t>
    <phoneticPr fontId="1"/>
  </si>
  <si>
    <t>しんせいはなみみむらつる</t>
    <phoneticPr fontId="1"/>
  </si>
  <si>
    <t>静かに眠る武女桜</t>
    <phoneticPr fontId="1"/>
  </si>
  <si>
    <t>しんせいじむちぐさ</t>
    <phoneticPr fontId="1"/>
  </si>
  <si>
    <t>しんせいほくしんいっとうりゅうちばしゅうさく</t>
    <phoneticPr fontId="1"/>
  </si>
  <si>
    <t>しんせいてんぐとうたけだこううんさい</t>
    <phoneticPr fontId="1"/>
  </si>
  <si>
    <t>しんせいしゅぎょうちゅうあかしゃぐま</t>
    <phoneticPr fontId="1"/>
  </si>
  <si>
    <t>しんせいいっきとうせんまえだけいじ</t>
    <phoneticPr fontId="1"/>
  </si>
  <si>
    <t>19,19,18,18,17</t>
    <phoneticPr fontId="1"/>
  </si>
  <si>
    <t>しんせいびじんおにねえさん</t>
    <phoneticPr fontId="1"/>
  </si>
  <si>
    <t>しんせいかんふーかつらこごろう</t>
    <phoneticPr fontId="1"/>
  </si>
  <si>
    <t>しんせいぷろれすおとひめ</t>
    <phoneticPr fontId="1"/>
  </si>
  <si>
    <t>ぷろれすほっかいどうぎゅうにゅうちゃん</t>
    <phoneticPr fontId="1"/>
  </si>
  <si>
    <t>【宇宙戦争】犬神</t>
    <phoneticPr fontId="1"/>
  </si>
  <si>
    <t>[新生]ヤンバルクイナ</t>
    <phoneticPr fontId="1"/>
  </si>
  <si>
    <t>[新生]【宇宙戦争】上泉信綱</t>
    <phoneticPr fontId="1"/>
  </si>
  <si>
    <t>[新生]【アンドロイド】朧車</t>
    <phoneticPr fontId="1"/>
  </si>
  <si>
    <t>[新生]伝林坊頼慶</t>
    <phoneticPr fontId="1"/>
  </si>
  <si>
    <t>[新生]【アンドロイド】ホーランエンヤ</t>
    <phoneticPr fontId="1"/>
  </si>
  <si>
    <t>[新生]プラモちゃん</t>
    <phoneticPr fontId="1"/>
  </si>
  <si>
    <t>[新生]水星</t>
    <phoneticPr fontId="1"/>
  </si>
  <si>
    <t>[新生]佐藤忠信</t>
    <phoneticPr fontId="1"/>
  </si>
  <si>
    <t>無所属</t>
    <phoneticPr fontId="1"/>
  </si>
  <si>
    <t>義経四天王の一勇士</t>
    <phoneticPr fontId="1"/>
  </si>
  <si>
    <t>朝夕に出会える奇跡</t>
    <phoneticPr fontId="1"/>
  </si>
  <si>
    <t>多色成形技術</t>
    <phoneticPr fontId="1"/>
  </si>
  <si>
    <t>戦闘型櫂伝馬踊り</t>
    <phoneticPr fontId="1"/>
  </si>
  <si>
    <t>片岡タイ捨流二代目</t>
    <phoneticPr fontId="1"/>
  </si>
  <si>
    <t>朧に回る車輪の怪</t>
    <phoneticPr fontId="1"/>
  </si>
  <si>
    <t>ブレードマスター信綱</t>
    <phoneticPr fontId="1"/>
  </si>
  <si>
    <t>やんばるに響く鳴き声</t>
    <phoneticPr fontId="1"/>
  </si>
  <si>
    <t>呪術操る宇宙の侵略者</t>
    <phoneticPr fontId="1"/>
  </si>
  <si>
    <t>タイプ偉人・妖怪・名物の攻40％UP</t>
    <phoneticPr fontId="1"/>
  </si>
  <si>
    <t>タイプ神秘・知性派・飲食の攻40％UP　/　タイプ偉人・妖怪・名物の防10％DOWN</t>
  </si>
  <si>
    <t>タイプ神秘・知性派・飲食の防25％UP　/　タイプ神秘・知性派・飲食の攻50％DOWN</t>
  </si>
  <si>
    <t>タイプ【偉人】の攻35％UP　/　タイプ妖怪・名物の攻25％UP</t>
  </si>
  <si>
    <t>[新生]【レースクイーン】浅井鶴千代</t>
    <phoneticPr fontId="1"/>
  </si>
  <si>
    <t>しんせいれーすくいーんあざいつるちよ</t>
    <phoneticPr fontId="1"/>
  </si>
  <si>
    <t>誰もが狙うご褒美</t>
    <phoneticPr fontId="1"/>
  </si>
  <si>
    <t>19,18,18,17,17</t>
    <phoneticPr fontId="1"/>
  </si>
  <si>
    <t>17,14,14,12,11</t>
    <phoneticPr fontId="1"/>
  </si>
  <si>
    <t>しんせいやんばるくいな</t>
    <phoneticPr fontId="1"/>
  </si>
  <si>
    <t>しんせいうちゅうせんそうかみいずみのぶつな</t>
    <phoneticPr fontId="1"/>
  </si>
  <si>
    <t>しんせいあんどろいどおぼろぐるま</t>
    <phoneticPr fontId="1"/>
  </si>
  <si>
    <t>しんせいあんどろいどほーらんえんや</t>
    <phoneticPr fontId="1"/>
  </si>
  <si>
    <t>しんせいすいせい</t>
    <phoneticPr fontId="1"/>
  </si>
  <si>
    <t>しんせいでんりんぼうらいけい</t>
    <phoneticPr fontId="1"/>
  </si>
  <si>
    <t>しんせいさとうただのぶ</t>
    <phoneticPr fontId="1"/>
  </si>
  <si>
    <t>しんせいぷらもちゃん</t>
    <phoneticPr fontId="1"/>
  </si>
  <si>
    <t>うちゅうせんそういぬがみ</t>
    <phoneticPr fontId="1"/>
  </si>
  <si>
    <t>処17+11+14 処14+12</t>
    <rPh sb="0" eb="1">
      <t>ショ</t>
    </rPh>
    <rPh sb="10" eb="11">
      <t>ショ</t>
    </rPh>
    <phoneticPr fontId="1"/>
  </si>
  <si>
    <t>処13+7+8 処10+8</t>
    <rPh sb="0" eb="1">
      <t>トコロ</t>
    </rPh>
    <rPh sb="8" eb="9">
      <t>トコロ</t>
    </rPh>
    <phoneticPr fontId="1"/>
  </si>
  <si>
    <t>処18+12+14 処15+12</t>
    <rPh sb="0" eb="1">
      <t>ショ</t>
    </rPh>
    <rPh sb="10" eb="11">
      <t>ショ</t>
    </rPh>
    <phoneticPr fontId="1"/>
  </si>
  <si>
    <t>【狂気の教団】織田信長</t>
    <phoneticPr fontId="1"/>
  </si>
  <si>
    <t>魔王操る堕天使の徒</t>
    <phoneticPr fontId="1"/>
  </si>
  <si>
    <t>[新生]天孫降臨</t>
    <phoneticPr fontId="1"/>
  </si>
  <si>
    <t>天地神器の降臨譚</t>
    <phoneticPr fontId="1"/>
  </si>
  <si>
    <t>[新生]古烏</t>
    <phoneticPr fontId="1"/>
  </si>
  <si>
    <t>葬りし人を喰らう千年鴉</t>
    <phoneticPr fontId="1"/>
  </si>
  <si>
    <t>[新生]【ブラック】勝海舟</t>
    <phoneticPr fontId="1"/>
  </si>
  <si>
    <t>託された近代日本の運命</t>
    <phoneticPr fontId="1"/>
  </si>
  <si>
    <t>[新生]アンモ</t>
    <phoneticPr fontId="1"/>
  </si>
  <si>
    <t>治癒せし怠けもの妖怪</t>
    <phoneticPr fontId="1"/>
  </si>
  <si>
    <t>[新生]【大魔王】酒呑童子</t>
    <phoneticPr fontId="1"/>
  </si>
  <si>
    <t>平安最凶の大魔王</t>
    <phoneticPr fontId="1"/>
  </si>
  <si>
    <t>[新生]大村純忠</t>
    <phoneticPr fontId="1"/>
  </si>
  <si>
    <t>日本初のキリシタン</t>
    <phoneticPr fontId="1"/>
  </si>
  <si>
    <t>[新生]三好三人衆</t>
    <phoneticPr fontId="1"/>
  </si>
  <si>
    <t>鳴らせ三三岩拍子</t>
    <phoneticPr fontId="1"/>
  </si>
  <si>
    <t>[新生]山本勘助</t>
    <phoneticPr fontId="1"/>
  </si>
  <si>
    <t>山梨</t>
    <phoneticPr fontId="1"/>
  </si>
  <si>
    <t>破軍建返し</t>
    <phoneticPr fontId="1"/>
  </si>
  <si>
    <t>きょうきのきょうだんおだのぶなが</t>
    <phoneticPr fontId="1"/>
  </si>
  <si>
    <t>しんせいてんそんこうりん</t>
    <phoneticPr fontId="1"/>
  </si>
  <si>
    <t>こがらす</t>
    <phoneticPr fontId="1"/>
  </si>
  <si>
    <t>しんせいぶらっくかつかいしゅう</t>
    <phoneticPr fontId="1"/>
  </si>
  <si>
    <t>しんせいあんも</t>
    <phoneticPr fontId="1"/>
  </si>
  <si>
    <t>しんせいだいまおうしゅてんどうじ</t>
    <phoneticPr fontId="1"/>
  </si>
  <si>
    <t>しんせいおおむらすみただ</t>
    <phoneticPr fontId="1"/>
  </si>
  <si>
    <t>しんせいみよしさんにんしゅう</t>
    <phoneticPr fontId="1"/>
  </si>
  <si>
    <t>しんせいやまもとかんすけ</t>
    <phoneticPr fontId="1"/>
  </si>
  <si>
    <t>[新生]【ウエディング】狆</t>
    <phoneticPr fontId="1"/>
  </si>
  <si>
    <t>しんせいうえでぃんぐちん</t>
    <phoneticPr fontId="1"/>
  </si>
  <si>
    <t>ジャパニーズパグの祝福</t>
    <phoneticPr fontId="1"/>
  </si>
  <si>
    <t>タイプ姫・伝承の攻30％UP　/　タイプ【武人】の攻15％UP</t>
  </si>
  <si>
    <t>タイプ伝承・名物・知性派の攻80％DOWN　/　タイプ知性派・飲食の防30％UP</t>
  </si>
  <si>
    <t>無所属→全国</t>
    <phoneticPr fontId="1"/>
  </si>
  <si>
    <t>17,14,13,13,12</t>
    <phoneticPr fontId="1"/>
  </si>
  <si>
    <t>19,18,18,17</t>
    <phoneticPr fontId="1"/>
  </si>
  <si>
    <t>【大海賊の亡霊】アマテラス</t>
    <phoneticPr fontId="1"/>
  </si>
  <si>
    <t>暗黒に天照す呪われし海賊</t>
    <phoneticPr fontId="1"/>
  </si>
  <si>
    <t>[新生]よこすか海軍カレー</t>
    <phoneticPr fontId="1"/>
  </si>
  <si>
    <t>大海原より来たりし栄養料理</t>
    <phoneticPr fontId="1"/>
  </si>
  <si>
    <t>[新生]【大航海時代】新島八重</t>
    <phoneticPr fontId="1"/>
  </si>
  <si>
    <t>麗しい海辺の砲撃手</t>
    <phoneticPr fontId="1"/>
  </si>
  <si>
    <t>[新生]【大航海時代】泡盛ちゃん</t>
    <phoneticPr fontId="1"/>
  </si>
  <si>
    <t>海賊船に積まれた古酒</t>
    <phoneticPr fontId="1"/>
  </si>
  <si>
    <t>[新生]【海軍】阿南姫</t>
    <phoneticPr fontId="1"/>
  </si>
  <si>
    <t>煌めく軍刀と誇り</t>
    <phoneticPr fontId="1"/>
  </si>
  <si>
    <t>[新生]ダグラス</t>
    <phoneticPr fontId="1"/>
  </si>
  <si>
    <t>ナイトグランドクロス</t>
    <phoneticPr fontId="1"/>
  </si>
  <si>
    <t>[新生]【花水着】明石たこちゃん</t>
    <phoneticPr fontId="1"/>
  </si>
  <si>
    <t>もまれる香りと潮流</t>
    <phoneticPr fontId="1"/>
  </si>
  <si>
    <t>召しませ海味餃子</t>
    <phoneticPr fontId="1"/>
  </si>
  <si>
    <t>[新生]【海開き】餃子ちゃん</t>
    <phoneticPr fontId="1"/>
  </si>
  <si>
    <t>恋心を撃ち落とせ</t>
    <phoneticPr fontId="1"/>
  </si>
  <si>
    <t>[新生]【海軍】赤井輝子</t>
    <phoneticPr fontId="1"/>
  </si>
  <si>
    <t>群馬</t>
    <phoneticPr fontId="1"/>
  </si>
  <si>
    <t>[新生]ハイビスカスティーちゃん</t>
    <phoneticPr fontId="1"/>
  </si>
  <si>
    <t>しんせいはいびすかすてぃーちゃん</t>
    <phoneticPr fontId="1"/>
  </si>
  <si>
    <t>赤く染まる南国の花</t>
    <phoneticPr fontId="1"/>
  </si>
  <si>
    <t>タイプ武人・飲食・妖怪の防85％DOWN　/　タイプ知性派・飲食の攻30％UP</t>
  </si>
  <si>
    <t>タイプ【知性派】の攻35％UP　/　タイプ神秘・飲食の攻25％UP</t>
  </si>
  <si>
    <t>タイプ【伝承】の攻30％UP　/　タイプ【姫】の攻20％UP</t>
  </si>
  <si>
    <t>処11+10+12 処多数</t>
    <rPh sb="0" eb="1">
      <t>トコロ</t>
    </rPh>
    <rPh sb="10" eb="11">
      <t>トコロ</t>
    </rPh>
    <rPh sb="11" eb="13">
      <t>タスウ</t>
    </rPh>
    <phoneticPr fontId="1"/>
  </si>
  <si>
    <t>17,15,15,15</t>
    <phoneticPr fontId="1"/>
  </si>
  <si>
    <t>処17+15+15 処15</t>
    <rPh sb="0" eb="1">
      <t>トコロ</t>
    </rPh>
    <rPh sb="10" eb="11">
      <t>トコロ</t>
    </rPh>
    <phoneticPr fontId="1"/>
  </si>
  <si>
    <t>【人気首位】とちおとめちゃん</t>
    <phoneticPr fontId="1"/>
  </si>
  <si>
    <t>SP</t>
    <phoneticPr fontId="1"/>
  </si>
  <si>
    <t>にんきしゅいとちおとめちゃん</t>
    <phoneticPr fontId="1"/>
  </si>
  <si>
    <t>国民的人気いちご</t>
    <phoneticPr fontId="1"/>
  </si>
  <si>
    <t>図鑑埋済</t>
    <rPh sb="0" eb="2">
      <t>ズカン</t>
    </rPh>
    <rPh sb="2" eb="3">
      <t>ウ</t>
    </rPh>
    <rPh sb="3" eb="4">
      <t>ズ</t>
    </rPh>
    <phoneticPr fontId="1"/>
  </si>
  <si>
    <t>タイプ偉人・妖怪・名物の防50％UP</t>
    <phoneticPr fontId="1"/>
  </si>
  <si>
    <t>君臨する美貌の皇女</t>
    <phoneticPr fontId="1"/>
  </si>
  <si>
    <t>【水着アイドル】推古天皇</t>
    <phoneticPr fontId="1"/>
  </si>
  <si>
    <t>大海に響く鳴き声</t>
    <phoneticPr fontId="1"/>
  </si>
  <si>
    <t>[新生]シロイルカ</t>
    <phoneticPr fontId="1"/>
  </si>
  <si>
    <t>深海鼠とふわふわ探検隊</t>
    <phoneticPr fontId="1"/>
  </si>
  <si>
    <t>[新生]【海開き】鉄鼠</t>
    <phoneticPr fontId="1"/>
  </si>
  <si>
    <t>秩序を守る回遊魚</t>
    <phoneticPr fontId="1"/>
  </si>
  <si>
    <t>[新生]【花水着】イワシちゃん</t>
    <phoneticPr fontId="1"/>
  </si>
  <si>
    <t>疾走のAKABEKO２０１４</t>
    <phoneticPr fontId="1"/>
  </si>
  <si>
    <t>[新生]【海開き】アカベコ</t>
    <phoneticPr fontId="1"/>
  </si>
  <si>
    <t>祝福の白い砂浜</t>
    <phoneticPr fontId="1"/>
  </si>
  <si>
    <t>[新生]エンジェルロード</t>
    <phoneticPr fontId="1"/>
  </si>
  <si>
    <t>初雪までの残紅</t>
    <phoneticPr fontId="1"/>
  </si>
  <si>
    <t>[新生]爪紅</t>
    <phoneticPr fontId="1"/>
  </si>
  <si>
    <t>霊蛇の妖力</t>
    <phoneticPr fontId="1"/>
  </si>
  <si>
    <t>[新生]八岐大蛇の巫女</t>
    <phoneticPr fontId="1"/>
  </si>
  <si>
    <t>タイプ【名物】の攻20％UP</t>
    <phoneticPr fontId="1"/>
  </si>
  <si>
    <t>都市伝説生まれの少女</t>
    <phoneticPr fontId="1"/>
  </si>
  <si>
    <t>[新生]【冥暗】花子さん</t>
    <phoneticPr fontId="1"/>
  </si>
  <si>
    <t>タイプ偉人・妖怪・名物の防35％UP　/　タイプ飲食・武人・名物の攻10％DOWN</t>
  </si>
  <si>
    <t>タイプ【神秘】の防35％UP　/　タイプ知性派・飲食の防25％UP</t>
  </si>
  <si>
    <t>タイプ【妖怪】の防30％UP　/　タイプ【偉人】の防20％UP</t>
  </si>
  <si>
    <t>全タイプの攻35％UP　/　全タイプの防20％DOWN</t>
  </si>
  <si>
    <t>処18+12+14 処14+13</t>
    <rPh sb="0" eb="1">
      <t>ショ</t>
    </rPh>
    <rPh sb="10" eb="11">
      <t>ショ</t>
    </rPh>
    <phoneticPr fontId="1"/>
  </si>
  <si>
    <t>19,19,19,18,18</t>
    <phoneticPr fontId="1"/>
  </si>
  <si>
    <t>18,18,18,17</t>
    <phoneticPr fontId="1"/>
  </si>
  <si>
    <t>17,16,15,15,13</t>
    <phoneticPr fontId="1"/>
  </si>
  <si>
    <t>21,18,17,16,16</t>
    <phoneticPr fontId="1"/>
  </si>
  <si>
    <t>予15+10+12+13+14,9</t>
    <phoneticPr fontId="1"/>
  </si>
  <si>
    <t>21(古豪ガチャ),17,17,16,16,16</t>
    <rPh sb="3" eb="5">
      <t>コゴウ</t>
    </rPh>
    <phoneticPr fontId="1"/>
  </si>
  <si>
    <t>【ギャング】金太郎</t>
    <phoneticPr fontId="1"/>
  </si>
  <si>
    <t>マサカリ担いだギャング怪童</t>
    <phoneticPr fontId="1"/>
  </si>
  <si>
    <t>夜鳴く妖の雀</t>
    <phoneticPr fontId="1"/>
  </si>
  <si>
    <t>[新生]【妖鳥】夜雀</t>
    <phoneticPr fontId="1"/>
  </si>
  <si>
    <t>鋭い光を放つ名刀</t>
    <phoneticPr fontId="1"/>
  </si>
  <si>
    <t>[新生]【不良妖怪】蜥蜴丸</t>
    <phoneticPr fontId="1"/>
  </si>
  <si>
    <t>若気の至りの悪行三昧</t>
    <phoneticPr fontId="1"/>
  </si>
  <si>
    <t>[新生]【不良妖怪】海座頭</t>
    <phoneticPr fontId="1"/>
  </si>
  <si>
    <t>大江山の切り込み隊長</t>
    <phoneticPr fontId="1"/>
  </si>
  <si>
    <t>[新生]【不良妖怪】茨木童子</t>
    <phoneticPr fontId="1"/>
  </si>
  <si>
    <t>恐れられた人斬り</t>
    <phoneticPr fontId="1"/>
  </si>
  <si>
    <t>[新生]岡田以蔵</t>
    <phoneticPr fontId="1"/>
  </si>
  <si>
    <t>詠う交通整理</t>
    <phoneticPr fontId="1"/>
  </si>
  <si>
    <t>[新生]【刑事】宜秋門院丹後</t>
    <phoneticPr fontId="1"/>
  </si>
  <si>
    <t>討ち入り相談受付中</t>
    <phoneticPr fontId="1"/>
  </si>
  <si>
    <t>[新生]【ポリス】瑤泉院</t>
    <phoneticPr fontId="1"/>
  </si>
  <si>
    <t>金楚糕の逸楽</t>
    <phoneticPr fontId="1"/>
  </si>
  <si>
    <t>[新生]【ポリス】ちんすこうちゃん</t>
    <phoneticPr fontId="1"/>
  </si>
  <si>
    <t>ぎゃんぐきんたろう</t>
    <phoneticPr fontId="1"/>
  </si>
  <si>
    <t>しんせいようちょうよすずめ</t>
    <phoneticPr fontId="1"/>
  </si>
  <si>
    <t>しんせいふりょうようかいとかげまる</t>
    <phoneticPr fontId="1"/>
  </si>
  <si>
    <t>しんせいふりょうようかいうみざとう</t>
    <phoneticPr fontId="1"/>
  </si>
  <si>
    <t>しんせいふりょうようかいいばらきどうじ</t>
    <phoneticPr fontId="1"/>
  </si>
  <si>
    <t>しんせいおかだいぞう</t>
    <phoneticPr fontId="1"/>
  </si>
  <si>
    <t>しんせいけいじぎしゅうもんいんのたんご</t>
    <phoneticPr fontId="1"/>
  </si>
  <si>
    <t>しんせいぽりすようぜんいん</t>
    <phoneticPr fontId="1"/>
  </si>
  <si>
    <t>しんせいぽりすちんすこうちゃん</t>
    <phoneticPr fontId="1"/>
  </si>
  <si>
    <t>備考</t>
    <rPh sb="0" eb="2">
      <t>ビコウ</t>
    </rPh>
    <phoneticPr fontId="1"/>
  </si>
  <si>
    <t>[新生]アルカヒコノミコト</t>
    <phoneticPr fontId="1"/>
  </si>
  <si>
    <t>[新生]於大の方</t>
    <phoneticPr fontId="1"/>
  </si>
  <si>
    <t>[新生]【卓球】山上憶良</t>
    <phoneticPr fontId="1"/>
  </si>
  <si>
    <t>2019/07/10古豪戦傑ガチャ</t>
    <rPh sb="10" eb="12">
      <t>コゴウ</t>
    </rPh>
    <rPh sb="12" eb="13">
      <t>セン</t>
    </rPh>
    <rPh sb="13" eb="14">
      <t>ケツ</t>
    </rPh>
    <phoneticPr fontId="1"/>
  </si>
  <si>
    <t>2019/03/26古豪戦傑ガチャ</t>
    <phoneticPr fontId="1"/>
  </si>
  <si>
    <t>2019/06/10古豪戦傑ガチャ</t>
    <phoneticPr fontId="1"/>
  </si>
  <si>
    <t>2019/05/10古豪戦傑ガチャ</t>
    <phoneticPr fontId="1"/>
  </si>
  <si>
    <t>2019/05/19古豪戦傑ガチャ</t>
    <phoneticPr fontId="1"/>
  </si>
  <si>
    <t>2019/06/28古豪戦傑ガチャ</t>
    <phoneticPr fontId="1"/>
  </si>
  <si>
    <t>2019/04/28古豪戦傑ガチャ</t>
    <phoneticPr fontId="1"/>
  </si>
  <si>
    <t>2019/11/22古豪戦傑ガチャ</t>
    <phoneticPr fontId="1"/>
  </si>
  <si>
    <t>2019/08/10古豪戦傑ガチャ</t>
    <phoneticPr fontId="1"/>
  </si>
  <si>
    <t>2019/08/29古豪戦傑ガチャ</t>
    <phoneticPr fontId="1"/>
  </si>
  <si>
    <t>2019/10/22古豪戦傑ガチャ</t>
    <phoneticPr fontId="1"/>
  </si>
  <si>
    <t>2019/09/10古豪戦傑ガチャ</t>
    <phoneticPr fontId="1"/>
  </si>
  <si>
    <t>2019/09/19古豪戦傑ガチャ</t>
    <phoneticPr fontId="1"/>
  </si>
  <si>
    <t>2020/08/19古豪戦傑ガチャ</t>
    <phoneticPr fontId="1"/>
  </si>
  <si>
    <t>2020/05/20古豪戦傑ガチャ</t>
    <phoneticPr fontId="1"/>
  </si>
  <si>
    <t>2020/01/22古豪戦傑ガチャ</t>
    <phoneticPr fontId="1"/>
  </si>
  <si>
    <t>2020/07/19古豪戦傑ガチャ</t>
    <phoneticPr fontId="1"/>
  </si>
  <si>
    <t>2020/04/20古豪戦傑ガチャ</t>
    <phoneticPr fontId="1"/>
  </si>
  <si>
    <t>2020/06/19古豪戦傑ガチャ</t>
    <phoneticPr fontId="1"/>
  </si>
  <si>
    <t>2019/06/10,19,28古豪戦傑ガチャ</t>
    <phoneticPr fontId="1"/>
  </si>
  <si>
    <t>2019/05/10,19,28古豪戦傑ガチャ</t>
    <phoneticPr fontId="1"/>
  </si>
  <si>
    <t>2019/07/10,19,29古豪戦傑ガチャ</t>
    <phoneticPr fontId="1"/>
  </si>
  <si>
    <t>2019/08/10,19,29古豪戦傑ガチャ</t>
    <phoneticPr fontId="1"/>
  </si>
  <si>
    <t>2018/11防衛戦</t>
    <rPh sb="7" eb="10">
      <t>ボウエイセン</t>
    </rPh>
    <phoneticPr fontId="1"/>
  </si>
  <si>
    <t>2018/12防衛戦</t>
    <phoneticPr fontId="1"/>
  </si>
  <si>
    <t>2019/01防衛戦</t>
    <phoneticPr fontId="1"/>
  </si>
  <si>
    <t>2019/02防衛戦</t>
    <phoneticPr fontId="1"/>
  </si>
  <si>
    <t>2019/03防衛戦</t>
    <phoneticPr fontId="1"/>
  </si>
  <si>
    <t>2019/04防衛戦</t>
    <phoneticPr fontId="1"/>
  </si>
  <si>
    <t>2018/11防衛戦</t>
    <phoneticPr fontId="1"/>
  </si>
  <si>
    <t>2018/07防衛戦</t>
    <phoneticPr fontId="1"/>
  </si>
  <si>
    <t>2018/08防衛戦</t>
    <phoneticPr fontId="1"/>
  </si>
  <si>
    <t>初日獲得功績数150万到達で獲得できる隊士が、4枠目の金小判ガチャSRコスト17→1枠目のSSRコスト16に変更</t>
    <rPh sb="0" eb="2">
      <t>ショニチ</t>
    </rPh>
    <rPh sb="2" eb="4">
      <t>カクトク</t>
    </rPh>
    <rPh sb="4" eb="6">
      <t>コウセキ</t>
    </rPh>
    <rPh sb="6" eb="7">
      <t>スウ</t>
    </rPh>
    <rPh sb="10" eb="11">
      <t>マン</t>
    </rPh>
    <rPh sb="11" eb="13">
      <t>トウタツ</t>
    </rPh>
    <rPh sb="14" eb="16">
      <t>カクトク</t>
    </rPh>
    <rPh sb="19" eb="21">
      <t>タイシ</t>
    </rPh>
    <rPh sb="24" eb="25">
      <t>ワク</t>
    </rPh>
    <rPh sb="25" eb="26">
      <t>メ</t>
    </rPh>
    <rPh sb="27" eb="28">
      <t>キン</t>
    </rPh>
    <rPh sb="28" eb="30">
      <t>コバン</t>
    </rPh>
    <rPh sb="42" eb="43">
      <t>ワク</t>
    </rPh>
    <rPh sb="43" eb="44">
      <t>メ</t>
    </rPh>
    <rPh sb="54" eb="56">
      <t>ヘンコウ</t>
    </rPh>
    <phoneticPr fontId="1"/>
  </si>
  <si>
    <t>功績累計数300万到達で得られる戦技付きSSR10%チケットを追加</t>
    <rPh sb="0" eb="2">
      <t>コウセキ</t>
    </rPh>
    <rPh sb="2" eb="4">
      <t>ルイケイ</t>
    </rPh>
    <rPh sb="4" eb="5">
      <t>スウ</t>
    </rPh>
    <rPh sb="8" eb="9">
      <t>マン</t>
    </rPh>
    <rPh sb="9" eb="11">
      <t>トウタツ</t>
    </rPh>
    <rPh sb="12" eb="13">
      <t>エ</t>
    </rPh>
    <rPh sb="16" eb="18">
      <t>センギ</t>
    </rPh>
    <rPh sb="18" eb="19">
      <t>ツ</t>
    </rPh>
    <rPh sb="31" eb="33">
      <t>ツイカ</t>
    </rPh>
    <phoneticPr fontId="1"/>
  </si>
  <si>
    <t>[新生]【戦国海開き】シッケンケン</t>
    <phoneticPr fontId="1"/>
  </si>
  <si>
    <t>しんせいせんごくうみびらきしっけんけん</t>
    <phoneticPr fontId="1"/>
  </si>
  <si>
    <t>心捕える夏の縄</t>
    <phoneticPr fontId="1"/>
  </si>
  <si>
    <t>タイプ伝承・武人・姫の防45％UP　/　タイプ武人・飲食・妖怪の攻10％DOWN</t>
  </si>
  <si>
    <t>タイプ名物・武人の攻90％DOWN　/　タイプ偉人・名物の防35％UP</t>
  </si>
  <si>
    <t>タイプ【偉人】の防35％UP　/　タイプ妖怪・名物の防25％UP</t>
  </si>
  <si>
    <t>初日獲得功績数150万到達で獲得できる1枠目のSSR隊士が、コスト16→コスト18に変更</t>
    <rPh sb="0" eb="2">
      <t>ショニチ</t>
    </rPh>
    <rPh sb="2" eb="4">
      <t>カクトク</t>
    </rPh>
    <rPh sb="4" eb="6">
      <t>コウセキ</t>
    </rPh>
    <rPh sb="6" eb="7">
      <t>スウ</t>
    </rPh>
    <rPh sb="10" eb="11">
      <t>マン</t>
    </rPh>
    <rPh sb="11" eb="13">
      <t>トウタツ</t>
    </rPh>
    <rPh sb="14" eb="16">
      <t>カクトク</t>
    </rPh>
    <rPh sb="26" eb="28">
      <t>タイシ</t>
    </rPh>
    <rPh sb="42" eb="44">
      <t>ヘンコウ</t>
    </rPh>
    <phoneticPr fontId="1"/>
  </si>
  <si>
    <t>[新生]【囚われ姫】甲賀くノ一</t>
    <phoneticPr fontId="1"/>
  </si>
  <si>
    <t>甲賀流秘匿術</t>
    <phoneticPr fontId="1"/>
  </si>
  <si>
    <t>しんせいとらわれひめこうがくのいち</t>
    <phoneticPr fontId="1"/>
  </si>
  <si>
    <t>20,</t>
    <phoneticPr fontId="1"/>
  </si>
  <si>
    <t>図鑑埋済 処20</t>
    <rPh sb="0" eb="2">
      <t>ズカン</t>
    </rPh>
    <rPh sb="2" eb="3">
      <t>ウ</t>
    </rPh>
    <rPh sb="3" eb="4">
      <t>ズ</t>
    </rPh>
    <rPh sb="5" eb="6">
      <t>ショ</t>
    </rPh>
    <phoneticPr fontId="1"/>
  </si>
  <si>
    <t>処12+10+11 処多数</t>
    <rPh sb="0" eb="1">
      <t>トコロ</t>
    </rPh>
    <rPh sb="10" eb="11">
      <t>トコロ</t>
    </rPh>
    <rPh sb="11" eb="13">
      <t>タスウ</t>
    </rPh>
    <phoneticPr fontId="1"/>
  </si>
  <si>
    <t>無所属→全国</t>
    <rPh sb="0" eb="3">
      <t>ムショゾク</t>
    </rPh>
    <phoneticPr fontId="1"/>
  </si>
  <si>
    <t>最終ランキング101位～1500位で入手できる『SP入り！コスト20！復刻SSR10％チケ』を追加</t>
    <rPh sb="10" eb="11">
      <t>イ</t>
    </rPh>
    <phoneticPr fontId="1"/>
  </si>
  <si>
    <t>最終ランキング1位～100位以内で入手できる『コスト20！SPとちおとめちゃん10％(SSR以上確定)チケ』を追加</t>
    <rPh sb="0" eb="2">
      <t>サイシュウ</t>
    </rPh>
    <rPh sb="8" eb="9">
      <t>イ</t>
    </rPh>
    <rPh sb="13" eb="14">
      <t>イ</t>
    </rPh>
    <rPh sb="14" eb="16">
      <t>イナイ</t>
    </rPh>
    <rPh sb="17" eb="19">
      <t>ニュウシュ</t>
    </rPh>
    <rPh sb="55" eb="57">
      <t>ツイカ</t>
    </rPh>
    <phoneticPr fontId="1"/>
  </si>
  <si>
    <t>19,18,17,16,14,13</t>
    <phoneticPr fontId="1"/>
  </si>
  <si>
    <t>しんせいうみびらきあかべこ</t>
    <phoneticPr fontId="1"/>
  </si>
  <si>
    <t>しんせいつまくれない</t>
    <phoneticPr fontId="1"/>
  </si>
  <si>
    <t>しんせいやまたのおろちのみこ</t>
    <phoneticPr fontId="1"/>
  </si>
  <si>
    <t>しんせいめいあんはなこさん</t>
    <phoneticPr fontId="1"/>
  </si>
  <si>
    <t>しんせいかいぐんおなみひめ</t>
    <phoneticPr fontId="1"/>
  </si>
  <si>
    <t>しんせいはなみずぎあかしたこちゃん</t>
    <phoneticPr fontId="1"/>
  </si>
  <si>
    <t>しんせいうみびらきぎょうざちゃん</t>
    <phoneticPr fontId="1"/>
  </si>
  <si>
    <t>しんせいかいぐんあかいてるこ</t>
    <phoneticPr fontId="1"/>
  </si>
  <si>
    <t>だいかいぞくのぼうれいあまてらす</t>
    <phoneticPr fontId="1"/>
  </si>
  <si>
    <t>しんせいよこすかかいぐんかれー</t>
    <phoneticPr fontId="1"/>
  </si>
  <si>
    <t>しんせいだいこうかいじだいにいじまやえ</t>
    <phoneticPr fontId="1"/>
  </si>
  <si>
    <t>しんせいだいこうかいじだいあわもりちゃん</t>
    <phoneticPr fontId="1"/>
  </si>
  <si>
    <t>しんせいだぐらす</t>
    <phoneticPr fontId="1"/>
  </si>
  <si>
    <t>みずぎあいどるすいこてんのう</t>
    <phoneticPr fontId="1"/>
  </si>
  <si>
    <t>しんせいしろいるか</t>
    <phoneticPr fontId="1"/>
  </si>
  <si>
    <t>しんせいうみびらきてっそ</t>
    <phoneticPr fontId="1"/>
  </si>
  <si>
    <t>しんせいはなみずぎいわしちゃん</t>
    <phoneticPr fontId="1"/>
  </si>
  <si>
    <t>しんせいえんじぇるろーど</t>
    <phoneticPr fontId="1"/>
  </si>
  <si>
    <t>予</t>
    <phoneticPr fontId="1"/>
  </si>
  <si>
    <t>21,18,18,17,16</t>
    <phoneticPr fontId="1"/>
  </si>
  <si>
    <t>2019/06/19古豪戦傑ガチャ</t>
    <rPh sb="10" eb="12">
      <t>コゴウ</t>
    </rPh>
    <rPh sb="12" eb="13">
      <t>セン</t>
    </rPh>
    <rPh sb="13" eb="14">
      <t>ケツ</t>
    </rPh>
    <phoneticPr fontId="1"/>
  </si>
  <si>
    <t>処19+14+15 処16+12</t>
    <rPh sb="0" eb="1">
      <t>ショ</t>
    </rPh>
    <rPh sb="10" eb="11">
      <t>ショ</t>
    </rPh>
    <phoneticPr fontId="1"/>
  </si>
  <si>
    <t>19+15+(17+15),18(太陽と海の福引ガチャ)</t>
    <phoneticPr fontId="1"/>
  </si>
  <si>
    <t>【怪盗からの挑戦状】伊賀忍者</t>
    <phoneticPr fontId="1"/>
  </si>
  <si>
    <t>神出鬼没な怪盗忍者</t>
    <phoneticPr fontId="1"/>
  </si>
  <si>
    <t>[新生]奇術</t>
    <phoneticPr fontId="1"/>
  </si>
  <si>
    <t>常勝不敗の義賊</t>
    <phoneticPr fontId="1"/>
  </si>
  <si>
    <t>[新生]【怪盗】ポイヤンペ</t>
    <phoneticPr fontId="1"/>
  </si>
  <si>
    <t>狐狸の大幻術戦法</t>
    <phoneticPr fontId="1"/>
  </si>
  <si>
    <t>[新生]佐田彦四郎</t>
    <phoneticPr fontId="1"/>
  </si>
  <si>
    <t>純度百の結晶体</t>
    <phoneticPr fontId="1"/>
  </si>
  <si>
    <t>[新生]宝石ちゃん</t>
    <phoneticPr fontId="1"/>
  </si>
  <si>
    <t>ユタのみ治せる奇病</t>
    <phoneticPr fontId="1"/>
  </si>
  <si>
    <t>[新生]イチャイカジ</t>
    <phoneticPr fontId="1"/>
  </si>
  <si>
    <t>新種発見への期待</t>
    <phoneticPr fontId="1"/>
  </si>
  <si>
    <t>[新生]【トレジャー】化石発掘娘</t>
    <phoneticPr fontId="1"/>
  </si>
  <si>
    <t>節分に刻まれる魔滅伝説</t>
    <phoneticPr fontId="1"/>
  </si>
  <si>
    <t>福井</t>
    <phoneticPr fontId="1"/>
  </si>
  <si>
    <t>[新生]【節分】鼠小僧</t>
    <phoneticPr fontId="1"/>
  </si>
  <si>
    <t>東京</t>
    <phoneticPr fontId="1"/>
  </si>
  <si>
    <t>タイプ【知性派】の攻20％UP</t>
    <phoneticPr fontId="1"/>
  </si>
  <si>
    <t>借り物でもいいのつくるで！</t>
    <phoneticPr fontId="1"/>
  </si>
  <si>
    <t>[新生] 【借り物競争】たこ焼きちゃん</t>
    <phoneticPr fontId="1"/>
  </si>
  <si>
    <t>かいとうからのちょうせんじょういがにんじゃ</t>
    <phoneticPr fontId="1"/>
  </si>
  <si>
    <t>しんせいきじゅつ</t>
    <phoneticPr fontId="1"/>
  </si>
  <si>
    <t>しんせいかいとうぽいやんぺ</t>
    <phoneticPr fontId="1"/>
  </si>
  <si>
    <t>しんせいさだひこしろう</t>
    <phoneticPr fontId="1"/>
  </si>
  <si>
    <t>しんせいいちゃいかじ</t>
    <phoneticPr fontId="1"/>
  </si>
  <si>
    <t>しんせいほうせきちゃん</t>
    <phoneticPr fontId="1"/>
  </si>
  <si>
    <t>しんせいとれじゃーかせきはっくつむすめ</t>
    <phoneticPr fontId="1"/>
  </si>
  <si>
    <t>しんせいせつぶんねずみこぞう</t>
    <phoneticPr fontId="1"/>
  </si>
  <si>
    <t>しんせいかりものきょうそうたこやきちゃん</t>
    <phoneticPr fontId="1"/>
  </si>
  <si>
    <t>タイプ神秘・知性派・飲食の防45％UP　/　タイプ飲食・武人・名物の攻10％DOWN</t>
  </si>
  <si>
    <t>タイプ伝承・武人・姫の攻30％UP　/　タイプ神秘・知性派・飲食・武人の防13％DOWN</t>
  </si>
  <si>
    <t>→全国</t>
    <phoneticPr fontId="1"/>
  </si>
  <si>
    <t>西日本→全国</t>
    <rPh sb="0" eb="1">
      <t>ニシ</t>
    </rPh>
    <rPh sb="1" eb="3">
      <t>ニホン</t>
    </rPh>
    <rPh sb="4" eb="6">
      <t>ゼンコク</t>
    </rPh>
    <phoneticPr fontId="2"/>
  </si>
  <si>
    <t>無より出でし芸の戯れ</t>
    <phoneticPr fontId="1"/>
  </si>
  <si>
    <t>[新生]【魔界】紫芋タルトちゃん</t>
    <phoneticPr fontId="1"/>
  </si>
  <si>
    <t>処14+竜+竜</t>
    <rPh sb="0" eb="1">
      <t>ショ</t>
    </rPh>
    <rPh sb="4" eb="5">
      <t>リュウ</t>
    </rPh>
    <rPh sb="6" eb="7">
      <t>リュウ</t>
    </rPh>
    <phoneticPr fontId="1"/>
  </si>
  <si>
    <t>しんせいまかいむらさきいもたるとちゃん</t>
    <phoneticPr fontId="1"/>
  </si>
  <si>
    <t>棺の中の紫</t>
    <phoneticPr fontId="1"/>
  </si>
  <si>
    <t>19,19,18,18,18</t>
    <phoneticPr fontId="1"/>
  </si>
  <si>
    <t>22,19,18,16,16</t>
    <phoneticPr fontId="1"/>
  </si>
  <si>
    <t>2020/10/20古豪戦傑ガチャ</t>
    <phoneticPr fontId="1"/>
  </si>
  <si>
    <t>血を沸かす涼しげな熱い視線</t>
    <phoneticPr fontId="1"/>
  </si>
  <si>
    <t>【吸血鬼】海地獄ちゃん</t>
    <phoneticPr fontId="1"/>
  </si>
  <si>
    <t>にんげん大好き猫神様</t>
    <phoneticPr fontId="1"/>
  </si>
  <si>
    <t>[新生]【秋舞】猫神</t>
    <phoneticPr fontId="1"/>
  </si>
  <si>
    <t>深紅に満たす聖杯</t>
    <phoneticPr fontId="1"/>
  </si>
  <si>
    <t>[新生]【MONSTER】ワインちゃん</t>
    <phoneticPr fontId="1"/>
  </si>
  <si>
    <t>魅惑の吸血姫</t>
    <phoneticPr fontId="1"/>
  </si>
  <si>
    <t>[新生]カーミラ</t>
    <phoneticPr fontId="1"/>
  </si>
  <si>
    <t>力の源は市にあり</t>
    <phoneticPr fontId="1"/>
  </si>
  <si>
    <t>[新生]【黒騎士】浅井長政</t>
    <phoneticPr fontId="1"/>
  </si>
  <si>
    <t>変化に富む孔雀色の煌めき</t>
    <phoneticPr fontId="1"/>
  </si>
  <si>
    <t>タイプ【妖怪】の防90％UP　/　タイプ偉人・名物の防30％UP</t>
  </si>
  <si>
    <t>[新生]ブラックパール</t>
    <phoneticPr fontId="1"/>
  </si>
  <si>
    <t>会津の盛氏</t>
    <phoneticPr fontId="1"/>
  </si>
  <si>
    <t>[新生]蘆名盛氏</t>
    <phoneticPr fontId="1"/>
  </si>
  <si>
    <t>越中一の繁栄</t>
    <phoneticPr fontId="1"/>
  </si>
  <si>
    <t>[新生]神保長職</t>
    <phoneticPr fontId="1"/>
  </si>
  <si>
    <t>富山</t>
    <phoneticPr fontId="1"/>
  </si>
  <si>
    <t>百首会の女王</t>
    <phoneticPr fontId="1"/>
  </si>
  <si>
    <t>[新生]宜秋門院丹後</t>
    <phoneticPr fontId="1"/>
  </si>
  <si>
    <t>[新生]【お風呂】ぬらりひょん</t>
    <phoneticPr fontId="1"/>
  </si>
  <si>
    <t>妖怪王への南国サプライズ</t>
    <phoneticPr fontId="1"/>
  </si>
  <si>
    <t>しんせいおふろぬらりひょん</t>
    <phoneticPr fontId="1"/>
  </si>
  <si>
    <t>処22+竜+14</t>
    <rPh sb="0" eb="1">
      <t>ショ</t>
    </rPh>
    <rPh sb="4" eb="5">
      <t>リュウ</t>
    </rPh>
    <phoneticPr fontId="1"/>
  </si>
  <si>
    <t>しんせいぶらっくぱーる</t>
    <phoneticPr fontId="1"/>
  </si>
  <si>
    <t>しんせいぎしゅうもんいんのたんご</t>
    <phoneticPr fontId="1"/>
  </si>
  <si>
    <t>しんせいじんぼうながもと</t>
    <phoneticPr fontId="1"/>
  </si>
  <si>
    <t>しんせいくろきしあざいながまさ</t>
    <phoneticPr fontId="1"/>
  </si>
  <si>
    <t>しんせいあしなもりうじ</t>
    <phoneticPr fontId="1"/>
  </si>
  <si>
    <t>しんせいあきまいねこがみ</t>
    <phoneticPr fontId="1"/>
  </si>
  <si>
    <t>きゅうけつきうみじごくちゃん</t>
    <phoneticPr fontId="1"/>
  </si>
  <si>
    <t>しんせいもんすたーわいんちゃん</t>
    <phoneticPr fontId="1"/>
  </si>
  <si>
    <t>しんせいかーみら</t>
    <phoneticPr fontId="1"/>
  </si>
  <si>
    <t>処17+11+12 処14+13</t>
    <rPh sb="0" eb="1">
      <t>トコロ</t>
    </rPh>
    <rPh sb="10" eb="11">
      <t>トコロ</t>
    </rPh>
    <phoneticPr fontId="1"/>
  </si>
  <si>
    <t>処17+13+15 処16+15</t>
    <rPh sb="0" eb="1">
      <t>ショ</t>
    </rPh>
    <rPh sb="10" eb="11">
      <t>ショ</t>
    </rPh>
    <phoneticPr fontId="1"/>
  </si>
  <si>
    <t>処21+16+17 処18+18</t>
    <phoneticPr fontId="1"/>
  </si>
  <si>
    <t>処17+12+13 処14+13</t>
    <rPh sb="1" eb="2">
      <t>ショ</t>
    </rPh>
    <rPh sb="11" eb="12">
      <t>ショ</t>
    </rPh>
    <phoneticPr fontId="1"/>
  </si>
  <si>
    <t>処13+竜+竜 行方不明10,9,8,7</t>
    <rPh sb="8" eb="10">
      <t>ユクエ</t>
    </rPh>
    <rPh sb="10" eb="12">
      <t>フメイ</t>
    </rPh>
    <phoneticPr fontId="1"/>
  </si>
  <si>
    <t>処12+9+11 処13,11</t>
    <rPh sb="0" eb="1">
      <t>ショ</t>
    </rPh>
    <rPh sb="9" eb="10">
      <t>ショ</t>
    </rPh>
    <phoneticPr fontId="1"/>
  </si>
  <si>
    <t>処18+12+13 処15+14</t>
    <phoneticPr fontId="1"/>
  </si>
  <si>
    <t>処17+13+15,15 処16</t>
    <rPh sb="0" eb="1">
      <t>ショ</t>
    </rPh>
    <rPh sb="13" eb="14">
      <t>ショ</t>
    </rPh>
    <phoneticPr fontId="1"/>
  </si>
  <si>
    <t>19+竜+竜+竜+18,13,14,16,17</t>
    <rPh sb="3" eb="4">
      <t>リュウ</t>
    </rPh>
    <phoneticPr fontId="1"/>
  </si>
  <si>
    <t>処21+16+16 処18+17</t>
    <rPh sb="0" eb="1">
      <t>ショ</t>
    </rPh>
    <rPh sb="10" eb="11">
      <t>ショ</t>
    </rPh>
    <phoneticPr fontId="1"/>
  </si>
  <si>
    <t>タイプ偉人・妖怪・名物の防40％UP</t>
    <phoneticPr fontId="1"/>
  </si>
  <si>
    <t>恋を邪魔する悪鬼</t>
    <phoneticPr fontId="1"/>
  </si>
  <si>
    <t>【バレンタインデー】天邪鬼</t>
    <phoneticPr fontId="1"/>
  </si>
  <si>
    <t>相模に花咲く鎌倉の姫君</t>
    <phoneticPr fontId="1"/>
  </si>
  <si>
    <t>[新生]北条誉姫</t>
    <phoneticPr fontId="1"/>
  </si>
  <si>
    <t>甘い香りに誘われて</t>
    <phoneticPr fontId="1"/>
  </si>
  <si>
    <t>[新生]【おかし】上野パンダちゃん</t>
    <phoneticPr fontId="1"/>
  </si>
  <si>
    <t>愛妻家将の謀</t>
    <phoneticPr fontId="1"/>
  </si>
  <si>
    <t>[新生]【バレンタイン】毛利元就</t>
    <phoneticPr fontId="1"/>
  </si>
  <si>
    <t>舞で与える甘い誘惑</t>
    <phoneticPr fontId="1"/>
  </si>
  <si>
    <t>[新生]【バレンタイン】アマノウズメ</t>
    <phoneticPr fontId="1"/>
  </si>
  <si>
    <t>大蛇となった十和田湖の主</t>
    <phoneticPr fontId="1"/>
  </si>
  <si>
    <t>[新生]八ノ太郎</t>
    <phoneticPr fontId="1"/>
  </si>
  <si>
    <t>遅し身体と変わらぬ心</t>
    <phoneticPr fontId="1"/>
  </si>
  <si>
    <t>[新生]【バレンタイン】幸姫</t>
    <phoneticPr fontId="1"/>
  </si>
  <si>
    <t>口へと運ぶ菓子への思い出</t>
    <phoneticPr fontId="1"/>
  </si>
  <si>
    <t>[新生]【バレンタイン】木下家定</t>
    <phoneticPr fontId="1"/>
  </si>
  <si>
    <t>へそに乗せられたあんこ</t>
    <phoneticPr fontId="1"/>
  </si>
  <si>
    <t>[新生]へそもちちゃん</t>
    <phoneticPr fontId="1"/>
  </si>
  <si>
    <t>飛翔する恋の鏑矢</t>
    <phoneticPr fontId="1"/>
  </si>
  <si>
    <t>しんせいきゅーぴっどはんがくごぜん</t>
    <phoneticPr fontId="1"/>
  </si>
  <si>
    <t>[新生]【キューピッド】板額御前</t>
    <phoneticPr fontId="1"/>
  </si>
  <si>
    <t>皇帝への反逆</t>
    <rPh sb="0" eb="2">
      <t>コウテイ</t>
    </rPh>
    <rPh sb="4" eb="6">
      <t>ハンギャク</t>
    </rPh>
    <phoneticPr fontId="1"/>
  </si>
  <si>
    <t>タイプ偉人・妖怪・伝承の攻40％UP　/　タイプ名物・姫の攻30％UP</t>
    <rPh sb="3" eb="5">
      <t>イジン</t>
    </rPh>
    <rPh sb="6" eb="8">
      <t>ヨウカイ</t>
    </rPh>
    <rPh sb="9" eb="11">
      <t>デンショウ</t>
    </rPh>
    <rPh sb="12" eb="13">
      <t>コウ</t>
    </rPh>
    <rPh sb="24" eb="26">
      <t>メイブツ</t>
    </rPh>
    <rPh sb="27" eb="28">
      <t>ヒメ</t>
    </rPh>
    <rPh sb="29" eb="30">
      <t>コウ</t>
    </rPh>
    <phoneticPr fontId="1"/>
  </si>
  <si>
    <t>おんせんぱにっくこうていぺんぎんちゃん</t>
    <phoneticPr fontId="1"/>
  </si>
  <si>
    <t>【温泉パニック】コウテイペンギンちゃん</t>
    <rPh sb="1" eb="3">
      <t>オンセン</t>
    </rPh>
    <phoneticPr fontId="1"/>
  </si>
  <si>
    <t>慈愛満ちた鯉如来</t>
    <phoneticPr fontId="1"/>
  </si>
  <si>
    <t>こいのぼりこうみょうこうごう</t>
    <phoneticPr fontId="1"/>
  </si>
  <si>
    <t>【鯉のぼり】光明皇后</t>
    <phoneticPr fontId="1"/>
  </si>
  <si>
    <t>策戦 旺氣発破</t>
    <phoneticPr fontId="1"/>
  </si>
  <si>
    <t>魚雷エンペラー</t>
    <phoneticPr fontId="1"/>
  </si>
  <si>
    <t>戦技SSR10%チケットガチャ</t>
    <rPh sb="0" eb="2">
      <t>センギ</t>
    </rPh>
    <phoneticPr fontId="1"/>
  </si>
  <si>
    <t>戦技SSR10%チケットガチャ</t>
    <phoneticPr fontId="1"/>
  </si>
  <si>
    <t>処24+14+24</t>
    <rPh sb="0" eb="1">
      <t>ショ</t>
    </rPh>
    <phoneticPr fontId="1"/>
  </si>
  <si>
    <t>タイプ神秘・知性派・飲食の攻40％UP</t>
    <phoneticPr fontId="1"/>
  </si>
  <si>
    <t>乱酔の疫病神</t>
    <phoneticPr fontId="1"/>
  </si>
  <si>
    <t>【大凶】芋焼酎ちゃん</t>
    <phoneticPr fontId="1"/>
  </si>
  <si>
    <t>一生物の伝統品</t>
    <phoneticPr fontId="1"/>
  </si>
  <si>
    <t>[新生]姫手鞠</t>
    <phoneticPr fontId="1"/>
  </si>
  <si>
    <t>西日本→全国</t>
    <rPh sb="0" eb="1">
      <t>ニシ</t>
    </rPh>
    <rPh sb="1" eb="3">
      <t>ニホン</t>
    </rPh>
    <phoneticPr fontId="1"/>
  </si>
  <si>
    <t>翻弄された権力闘争</t>
    <phoneticPr fontId="1"/>
  </si>
  <si>
    <t>[新生]藤原時姫</t>
    <phoneticPr fontId="1"/>
  </si>
  <si>
    <t>責苦を連ねる獄卒</t>
    <phoneticPr fontId="1"/>
  </si>
  <si>
    <t>[新生]牛頭鬼</t>
    <phoneticPr fontId="1"/>
  </si>
  <si>
    <t>祭礼の神楽姫</t>
    <phoneticPr fontId="1"/>
  </si>
  <si>
    <t>[新生]巫女様</t>
    <phoneticPr fontId="1"/>
  </si>
  <si>
    <t>王女の気高さ永遠なれ</t>
    <phoneticPr fontId="1"/>
  </si>
  <si>
    <t>[新生]百十踏揚</t>
    <phoneticPr fontId="1"/>
  </si>
  <si>
    <t>流れゆく友禅と幼き時間</t>
    <phoneticPr fontId="1"/>
  </si>
  <si>
    <t>[新生]【成人式】友禅流しちゃん</t>
    <phoneticPr fontId="1"/>
  </si>
  <si>
    <t>石川</t>
    <phoneticPr fontId="1"/>
  </si>
  <si>
    <t>鳥見の三獅子</t>
    <phoneticPr fontId="1"/>
  </si>
  <si>
    <t>[新生]鳥見神社の獅子舞</t>
    <phoneticPr fontId="1"/>
  </si>
  <si>
    <t>千葉</t>
    <phoneticPr fontId="1"/>
  </si>
  <si>
    <t>タイプ【偉人】の防20％UP</t>
    <phoneticPr fontId="1"/>
  </si>
  <si>
    <t>即興の唄づけ</t>
    <phoneticPr fontId="1"/>
  </si>
  <si>
    <t>[新生]津軽三味線</t>
    <phoneticPr fontId="1"/>
  </si>
  <si>
    <t>[新生]【成人式】ユキウサギちゃん</t>
    <phoneticPr fontId="1"/>
  </si>
  <si>
    <t>大人の瞳と踊る童心</t>
    <phoneticPr fontId="1"/>
  </si>
  <si>
    <t>しんせいせいじんしきゆきうさぎちゃん</t>
    <phoneticPr fontId="1"/>
  </si>
  <si>
    <t>21,21,21,20,20</t>
    <phoneticPr fontId="1"/>
  </si>
  <si>
    <t>21,20,19,18,16,15</t>
    <phoneticPr fontId="1"/>
  </si>
  <si>
    <t>24,21,20,19,18</t>
    <phoneticPr fontId="1"/>
  </si>
  <si>
    <t>19,18,17,17,15</t>
    <phoneticPr fontId="1"/>
  </si>
  <si>
    <t>19,17,17,17</t>
    <phoneticPr fontId="1"/>
  </si>
  <si>
    <t>処19+17+17 処17</t>
    <rPh sb="0" eb="1">
      <t>トコロ</t>
    </rPh>
    <rPh sb="10" eb="11">
      <t>トコロ</t>
    </rPh>
    <phoneticPr fontId="1"/>
  </si>
  <si>
    <t>19,16,15,14,13</t>
    <phoneticPr fontId="1"/>
  </si>
  <si>
    <t>処13+12+14 処多数</t>
    <rPh sb="0" eb="1">
      <t>トコロ</t>
    </rPh>
    <rPh sb="10" eb="11">
      <t>トコロ</t>
    </rPh>
    <rPh sb="11" eb="13">
      <t>タスウ</t>
    </rPh>
    <phoneticPr fontId="1"/>
  </si>
  <si>
    <t>処12+12+12 処多数</t>
    <rPh sb="0" eb="1">
      <t>トコロ</t>
    </rPh>
    <rPh sb="10" eb="11">
      <t>トコロ</t>
    </rPh>
    <rPh sb="11" eb="13">
      <t>タスウ</t>
    </rPh>
    <phoneticPr fontId="1"/>
  </si>
  <si>
    <t>しんせいばれんたいんきのしたいえさだ</t>
    <phoneticPr fontId="1"/>
  </si>
  <si>
    <t>しんせいへそもちちゃん</t>
    <phoneticPr fontId="1"/>
  </si>
  <si>
    <t>しんせいばれんたいんあまのうずめ</t>
    <phoneticPr fontId="1"/>
  </si>
  <si>
    <t>しんせいばれんたいんゆきひめ</t>
    <phoneticPr fontId="1"/>
  </si>
  <si>
    <t>しんせいはちのたろう</t>
    <phoneticPr fontId="1"/>
  </si>
  <si>
    <t>しんせいばれんたいんもうりもとなり</t>
    <phoneticPr fontId="1"/>
  </si>
  <si>
    <t>しんせいおかしうえのぱんだちゃん</t>
    <phoneticPr fontId="1"/>
  </si>
  <si>
    <t>しんせいほうじょうほまれひめ</t>
    <phoneticPr fontId="1"/>
  </si>
  <si>
    <t>ばれんたいんでーあまのじゃく</t>
    <phoneticPr fontId="1"/>
  </si>
  <si>
    <t>しんせいつがるしゃみせん</t>
    <phoneticPr fontId="1"/>
  </si>
  <si>
    <t>しんせいとりみじんじゃのししまい</t>
    <phoneticPr fontId="1"/>
  </si>
  <si>
    <t>しんせいせいじんしきゆうぜんながしちゃん</t>
    <phoneticPr fontId="1"/>
  </si>
  <si>
    <t>しんせいももとふみあがり</t>
    <phoneticPr fontId="1"/>
  </si>
  <si>
    <t>しんせいみこさま</t>
    <phoneticPr fontId="1"/>
  </si>
  <si>
    <t>しんせいごずき</t>
    <phoneticPr fontId="1"/>
  </si>
  <si>
    <t>しんせいふじわらのときひめ</t>
    <phoneticPr fontId="1"/>
  </si>
  <si>
    <t>しんせいひめてまり</t>
    <phoneticPr fontId="1"/>
  </si>
  <si>
    <t>だいきょういもじょうちゅうちゃん</t>
    <phoneticPr fontId="1"/>
  </si>
  <si>
    <t>処19+13+14 処16+15</t>
    <rPh sb="0" eb="1">
      <t>トコロ</t>
    </rPh>
    <rPh sb="10" eb="11">
      <t>トコロ</t>
    </rPh>
    <phoneticPr fontId="1"/>
  </si>
  <si>
    <t>処19+15+17 処18+17</t>
    <rPh sb="0" eb="1">
      <t>ショ</t>
    </rPh>
    <rPh sb="10" eb="11">
      <t>ショ</t>
    </rPh>
    <phoneticPr fontId="1"/>
  </si>
  <si>
    <t>処24+18+19 処21+20</t>
    <phoneticPr fontId="1"/>
  </si>
  <si>
    <t>聖夜に忍び寄るジュスタの影</t>
    <phoneticPr fontId="1"/>
  </si>
  <si>
    <t>【シャドークリスマス】菊姫</t>
    <phoneticPr fontId="1"/>
  </si>
  <si>
    <t>雄渾な自然への敬意</t>
    <phoneticPr fontId="1"/>
  </si>
  <si>
    <t>[新生]雪舟</t>
    <phoneticPr fontId="1"/>
  </si>
  <si>
    <t>十勝から降る幸福のイカヅチ</t>
    <phoneticPr fontId="1"/>
  </si>
  <si>
    <t>[新生]【クリスマス】十勝の雷神</t>
    <phoneticPr fontId="1"/>
  </si>
  <si>
    <t>雪夜に輝く漢文の示し</t>
    <phoneticPr fontId="1"/>
  </si>
  <si>
    <t>[新生]【クリスマス】紫式部</t>
    <phoneticPr fontId="1"/>
  </si>
  <si>
    <t>【覚醒中】きまぐれなクリスマス</t>
    <phoneticPr fontId="1"/>
  </si>
  <si>
    <t>[新生]サンタクロース</t>
    <phoneticPr fontId="1"/>
  </si>
  <si>
    <t>深い酸味のアペリティフ</t>
    <phoneticPr fontId="1"/>
  </si>
  <si>
    <t>[新生]【クリスマス】ワインちゃん</t>
    <phoneticPr fontId="1"/>
  </si>
  <si>
    <t>実際の最低コストは15</t>
    <rPh sb="0" eb="2">
      <t>ジッサイ</t>
    </rPh>
    <rPh sb="3" eb="5">
      <t>サイテイ</t>
    </rPh>
    <phoneticPr fontId="1"/>
  </si>
  <si>
    <t>悪戯者のプレゼント荒らし</t>
    <phoneticPr fontId="1"/>
  </si>
  <si>
    <t>スキルが覚醒中なのは設定ミス？</t>
    <rPh sb="6" eb="7">
      <t>チュウ</t>
    </rPh>
    <rPh sb="10" eb="12">
      <t>セッテイ</t>
    </rPh>
    <phoneticPr fontId="1"/>
  </si>
  <si>
    <t>[新生]【森のクリスマス】キジムナー</t>
    <phoneticPr fontId="1"/>
  </si>
  <si>
    <t>知恵の木の象徴</t>
    <phoneticPr fontId="1"/>
  </si>
  <si>
    <t>[新生]クリスマスツリーちゃん</t>
    <phoneticPr fontId="1"/>
  </si>
  <si>
    <t>歴史を語る時計台</t>
    <phoneticPr fontId="1"/>
  </si>
  <si>
    <t>[新生]札幌時計台</t>
    <phoneticPr fontId="1"/>
  </si>
  <si>
    <t>北海道</t>
    <phoneticPr fontId="1"/>
  </si>
  <si>
    <t>しんせいさんたくろーす</t>
    <phoneticPr fontId="1"/>
  </si>
  <si>
    <t>しんせいさっぽろとけいだい</t>
    <phoneticPr fontId="1"/>
  </si>
  <si>
    <t>しんせいくりすますつりーちゃん</t>
    <phoneticPr fontId="1"/>
  </si>
  <si>
    <t>しんせいもりのくりすますきじむなー</t>
    <phoneticPr fontId="1"/>
  </si>
  <si>
    <t>しんせいくりすますわいんちゃん</t>
    <phoneticPr fontId="1"/>
  </si>
  <si>
    <t>しんせいくりすますむらさきしきぶ</t>
    <phoneticPr fontId="1"/>
  </si>
  <si>
    <t>22,19,18,17,16</t>
    <phoneticPr fontId="1"/>
  </si>
  <si>
    <t>処22+16+17 処19+18</t>
    <phoneticPr fontId="1"/>
  </si>
  <si>
    <t>しんせいくりすますとかちのらいじん</t>
    <phoneticPr fontId="1"/>
  </si>
  <si>
    <t>しんせいせっしゅう</t>
    <phoneticPr fontId="1"/>
  </si>
  <si>
    <t>しゃどーくりすますきくひめ</t>
    <phoneticPr fontId="1"/>
  </si>
  <si>
    <t>[新生]ハンドベルちゃん</t>
    <phoneticPr fontId="1"/>
  </si>
  <si>
    <t>しんせいはんどべるちゃん</t>
    <phoneticPr fontId="1"/>
  </si>
  <si>
    <t>７３の聖なる福音</t>
    <phoneticPr fontId="1"/>
  </si>
  <si>
    <t>処22+16+16 処19+18</t>
    <phoneticPr fontId="1"/>
  </si>
  <si>
    <t>21+竜+竜+竜+20,15,16,18,19</t>
    <rPh sb="3" eb="4">
      <t>リュウ</t>
    </rPh>
    <rPh sb="5" eb="6">
      <t>リュウ</t>
    </rPh>
    <phoneticPr fontId="1"/>
  </si>
  <si>
    <t>2021/01/28古豪戦傑ガチャ</t>
    <phoneticPr fontId="1"/>
  </si>
  <si>
    <t>2021/01/08,28古豪戦傑ガチャ</t>
    <phoneticPr fontId="1"/>
  </si>
  <si>
    <t>処14+12+13 処多数</t>
    <rPh sb="0" eb="1">
      <t>トコロ</t>
    </rPh>
    <rPh sb="10" eb="11">
      <t>トコロ</t>
    </rPh>
    <rPh sb="11" eb="13">
      <t>タスウ</t>
    </rPh>
    <phoneticPr fontId="1"/>
  </si>
  <si>
    <t>25,21,20,19,18</t>
    <phoneticPr fontId="1"/>
  </si>
  <si>
    <t>処25+18+19 処21+20</t>
    <phoneticPr fontId="1"/>
  </si>
  <si>
    <t>21,21,20,19,18,16,15</t>
    <phoneticPr fontId="1"/>
  </si>
  <si>
    <t>タイプ飲食・武人の防90％DOWN　/　タイプ偉人・名物の攻40％UP</t>
  </si>
  <si>
    <t>タイプ【武人】の防90％UP　/　タイプ姫・伝承の防30％UP</t>
  </si>
  <si>
    <t>タイプ神秘・知性派・飲食の攻40％UP　/　タイプ神秘・知性派・飲食の防10％DOWN</t>
  </si>
  <si>
    <t>タイプ偉人・妖怪・名物の攻35％UP　/　タイプ武人・神秘・飲食・妖怪の防13％DOWN</t>
  </si>
  <si>
    <t>タイプ武人・伝承の防30％UP　/　タイプ【姫】の防20％UP</t>
  </si>
  <si>
    <t>タイプ妖怪・名物の攻50％UP　/　タイプ【偉人】の攻35％UP</t>
  </si>
  <si>
    <t>タイプ偉人・妖怪の攻30％UP　/　タイプ【名物】の攻20％UP</t>
  </si>
  <si>
    <t>タイプ【知性派】の防30％UP　/　タイプ【飲食】の防20％UP</t>
  </si>
  <si>
    <t>21,21,21,21,20</t>
    <phoneticPr fontId="1"/>
  </si>
  <si>
    <t>図鑑埋済 処20</t>
    <rPh sb="0" eb="2">
      <t>ズカン</t>
    </rPh>
    <rPh sb="2" eb="3">
      <t>ウ</t>
    </rPh>
    <rPh sb="3" eb="4">
      <t>ズ</t>
    </rPh>
    <rPh sb="5" eb="6">
      <t>トコロ</t>
    </rPh>
    <phoneticPr fontId="1"/>
  </si>
  <si>
    <t>戦技SSR10%チケットガチャ</t>
  </si>
  <si>
    <t>公式のイベント報酬隊士紹介ページにて、一部隊士の最低コスト・攻防値に誤りがあったが、修正されていない</t>
    <rPh sb="0" eb="2">
      <t>コウシキ</t>
    </rPh>
    <rPh sb="7" eb="9">
      <t>ホウシュウ</t>
    </rPh>
    <rPh sb="9" eb="11">
      <t>タイシ</t>
    </rPh>
    <rPh sb="11" eb="13">
      <t>ショウカイ</t>
    </rPh>
    <rPh sb="19" eb="21">
      <t>イチブ</t>
    </rPh>
    <rPh sb="21" eb="23">
      <t>タイシ</t>
    </rPh>
    <rPh sb="24" eb="26">
      <t>サイテイ</t>
    </rPh>
    <rPh sb="30" eb="32">
      <t>コウボウ</t>
    </rPh>
    <rPh sb="32" eb="33">
      <t>アタイ</t>
    </rPh>
    <rPh sb="34" eb="35">
      <t>アヤマ</t>
    </rPh>
    <rPh sb="42" eb="44">
      <t>シュウセイ</t>
    </rPh>
    <phoneticPr fontId="1"/>
  </si>
  <si>
    <t>2020/12/08,19,21古豪戦傑ガチャ</t>
    <phoneticPr fontId="1"/>
  </si>
  <si>
    <t>2020/11/21古豪戦傑ガチャ</t>
    <phoneticPr fontId="1"/>
  </si>
  <si>
    <t>2021/02/08,18,26古豪戦傑ガチャ</t>
    <phoneticPr fontId="1"/>
  </si>
  <si>
    <t>公式のイベント報酬隊士紹介ページにて、一部隊士の最低コスト・攻防値に誤りがあったが、修正された</t>
    <rPh sb="0" eb="2">
      <t>コウシキ</t>
    </rPh>
    <rPh sb="7" eb="9">
      <t>ホウシュウ</t>
    </rPh>
    <rPh sb="9" eb="11">
      <t>タイシ</t>
    </rPh>
    <rPh sb="11" eb="13">
      <t>ショウカイ</t>
    </rPh>
    <rPh sb="19" eb="21">
      <t>イチブ</t>
    </rPh>
    <rPh sb="21" eb="23">
      <t>タイシ</t>
    </rPh>
    <rPh sb="24" eb="26">
      <t>サイテイ</t>
    </rPh>
    <rPh sb="30" eb="32">
      <t>コウボウ</t>
    </rPh>
    <rPh sb="32" eb="33">
      <t>アタイ</t>
    </rPh>
    <rPh sb="34" eb="35">
      <t>アヤマ</t>
    </rPh>
    <rPh sb="42" eb="44">
      <t>シュウセイ</t>
    </rPh>
    <phoneticPr fontId="1"/>
  </si>
  <si>
    <t>女参事に宿る怨念</t>
    <phoneticPr fontId="1"/>
  </si>
  <si>
    <t>【お雛様】松尾多勢子</t>
    <phoneticPr fontId="1"/>
  </si>
  <si>
    <t>筆頭に名を残せし大奥の花</t>
    <phoneticPr fontId="1"/>
  </si>
  <si>
    <t>[新生]万里小路局</t>
    <phoneticPr fontId="1"/>
  </si>
  <si>
    <t>継ぎし篤の心</t>
    <phoneticPr fontId="1"/>
  </si>
  <si>
    <t>[新生]広大院</t>
    <phoneticPr fontId="1"/>
  </si>
  <si>
    <t>真の愛と嵐を貴方に</t>
    <phoneticPr fontId="1"/>
  </si>
  <si>
    <t>[新生]黒姫</t>
    <phoneticPr fontId="1"/>
  </si>
  <si>
    <t>伝統の美音</t>
    <phoneticPr fontId="1"/>
  </si>
  <si>
    <t>[新生]福山琴奏者</t>
    <phoneticPr fontId="1"/>
  </si>
  <si>
    <t>三人一組のお仕え</t>
    <phoneticPr fontId="1"/>
  </si>
  <si>
    <t>[新生]三人官女</t>
    <phoneticPr fontId="1"/>
  </si>
  <si>
    <t>幻想的なパレード</t>
    <phoneticPr fontId="1"/>
  </si>
  <si>
    <t>[新生]柳川雛祭り水上パレード</t>
    <phoneticPr fontId="1"/>
  </si>
  <si>
    <t>タイプ【姫】の防25％UP</t>
    <phoneticPr fontId="1"/>
  </si>
  <si>
    <t>人形師の里</t>
    <phoneticPr fontId="1"/>
  </si>
  <si>
    <t>[新生]鴻巣雛</t>
    <phoneticPr fontId="1"/>
  </si>
  <si>
    <t>埼玉</t>
    <phoneticPr fontId="1"/>
  </si>
  <si>
    <t>津軽から弘前まで見守る</t>
    <phoneticPr fontId="1"/>
  </si>
  <si>
    <t>[新生]弘前城</t>
    <phoneticPr fontId="1"/>
  </si>
  <si>
    <t>しんせいこうのすびな</t>
    <phoneticPr fontId="1"/>
  </si>
  <si>
    <t>しんせいひろさきじょう</t>
    <phoneticPr fontId="1"/>
  </si>
  <si>
    <t>しんせいやながわひなまつりすいじょうぱれーど</t>
    <phoneticPr fontId="1"/>
  </si>
  <si>
    <t>しんせいさんにんかんじょ</t>
    <phoneticPr fontId="1"/>
  </si>
  <si>
    <t>しんせいふくやまことそうしゃ</t>
    <phoneticPr fontId="1"/>
  </si>
  <si>
    <t>しんせいくろひめ</t>
    <phoneticPr fontId="1"/>
  </si>
  <si>
    <t>しんせいこうだいいん</t>
    <phoneticPr fontId="1"/>
  </si>
  <si>
    <t>しんせいまでのこうじのつぼね</t>
    <phoneticPr fontId="1"/>
  </si>
  <si>
    <t>おひなさままつおたせこ</t>
    <phoneticPr fontId="1"/>
  </si>
  <si>
    <t>タイプ姫・伝承の防30％UP　/　タイプ【武人】の防15％UP</t>
  </si>
  <si>
    <t>[新生]【三位一体】宗像三女神</t>
    <phoneticPr fontId="1"/>
  </si>
  <si>
    <t>三女神の守護</t>
    <phoneticPr fontId="1"/>
  </si>
  <si>
    <t>しんせいさんみいったいむなかたさんじょじん</t>
    <phoneticPr fontId="1"/>
  </si>
  <si>
    <t>処14,13,12 処多数</t>
    <rPh sb="0" eb="1">
      <t>トコロ</t>
    </rPh>
    <rPh sb="10" eb="11">
      <t>トコロ</t>
    </rPh>
    <rPh sb="11" eb="13">
      <t>タスウ</t>
    </rPh>
    <phoneticPr fontId="1"/>
  </si>
  <si>
    <t>24.21.20,19,18</t>
    <phoneticPr fontId="1"/>
  </si>
  <si>
    <t>復活SSR10%チケットガチャ</t>
  </si>
  <si>
    <t>処25+14+25</t>
    <rPh sb="0" eb="1">
      <t>ショ</t>
    </rPh>
    <phoneticPr fontId="1"/>
  </si>
  <si>
    <t>2021/03/08古豪戦傑ガチャ</t>
    <phoneticPr fontId="1"/>
  </si>
  <si>
    <t>22(古豪ガチャ),19,19,18,18,17</t>
    <rPh sb="3" eb="5">
      <t>コゴウ</t>
    </rPh>
    <phoneticPr fontId="1"/>
  </si>
  <si>
    <t>19+竜+竜+竜+18,13,14,16,17</t>
    <phoneticPr fontId="1"/>
  </si>
  <si>
    <t>2021/03/08,18,25古豪戦傑ガチャ</t>
    <phoneticPr fontId="1"/>
  </si>
  <si>
    <t>19+竜+竜+竜+18,13,14,16,17</t>
    <rPh sb="3" eb="4">
      <t>リュウ</t>
    </rPh>
    <rPh sb="5" eb="6">
      <t>リュウ</t>
    </rPh>
    <rPh sb="7" eb="8">
      <t>リュウ</t>
    </rPh>
    <phoneticPr fontId="1"/>
  </si>
  <si>
    <t>山神が巻き起こす花嵐</t>
    <phoneticPr fontId="1"/>
  </si>
  <si>
    <t>【桜荒天】山神様</t>
    <phoneticPr fontId="1"/>
  </si>
  <si>
    <t>咲き誇れ華と世界よ</t>
    <phoneticPr fontId="1"/>
  </si>
  <si>
    <t>[新生]百花繚乱</t>
    <phoneticPr fontId="1"/>
  </si>
  <si>
    <t>岩戸も開く神秘の力</t>
    <phoneticPr fontId="1"/>
  </si>
  <si>
    <t>[新生]【春舞】青メノウ</t>
    <phoneticPr fontId="1"/>
  </si>
  <si>
    <t>満ちたりし直心影流薙刀術</t>
    <phoneticPr fontId="1"/>
  </si>
  <si>
    <t>[新生]【薙刀】園部秀雄</t>
    <phoneticPr fontId="1"/>
  </si>
  <si>
    <t>慈愛が満ちる桜山</t>
    <phoneticPr fontId="1"/>
  </si>
  <si>
    <t>[新生]【桜詩】赤染衛門</t>
    <phoneticPr fontId="1"/>
  </si>
  <si>
    <t>甘く包んだ桜の葉</t>
    <phoneticPr fontId="1"/>
  </si>
  <si>
    <t>[新生]くず桜ちゃん</t>
    <phoneticPr fontId="1"/>
  </si>
  <si>
    <t>とりわけ嬉しい春の知らせ</t>
    <phoneticPr fontId="1"/>
  </si>
  <si>
    <t>[新生]【桜めぐり】コロポックル</t>
    <phoneticPr fontId="1"/>
  </si>
  <si>
    <t>無愛想と愛想</t>
    <phoneticPr fontId="1"/>
  </si>
  <si>
    <t>[新生]【花見】スカジャン娘</t>
    <phoneticPr fontId="1"/>
  </si>
  <si>
    <t>神奈川</t>
    <phoneticPr fontId="1"/>
  </si>
  <si>
    <t>2オクターブの世界</t>
    <phoneticPr fontId="1"/>
  </si>
  <si>
    <t>[新生]大正琴</t>
    <phoneticPr fontId="1"/>
  </si>
  <si>
    <t>愛知</t>
    <phoneticPr fontId="1"/>
  </si>
  <si>
    <t>またあの桜小道で</t>
    <phoneticPr fontId="1"/>
  </si>
  <si>
    <t>[新生]【桜めぐり】お瑠璃の方</t>
    <phoneticPr fontId="1"/>
  </si>
  <si>
    <t>15+14+14 20,15,14</t>
    <phoneticPr fontId="1"/>
  </si>
  <si>
    <t>21,21,20,20,19</t>
    <phoneticPr fontId="1"/>
  </si>
  <si>
    <t>タイプ武人・飲食・妖怪の攻85％DOWN　/　タイプ知性派・飲食の防30％UP</t>
  </si>
  <si>
    <t>タイプ偉人・妖怪・名物の防35％UP　/　タイプ武人・神秘・飲食・妖怪の攻13％DOWN</t>
  </si>
  <si>
    <t>しんせいさくらめぐりおるりのかた</t>
    <phoneticPr fontId="1"/>
  </si>
  <si>
    <t>しんせいたいしょうごと</t>
    <phoneticPr fontId="1"/>
  </si>
  <si>
    <t>しんせいはなみすかじゃんむすめ</t>
    <phoneticPr fontId="1"/>
  </si>
  <si>
    <t>しんせいさくらめぐりころぽっくる</t>
    <phoneticPr fontId="1"/>
  </si>
  <si>
    <t>しんせいさくらうたあかぞめえもん</t>
    <phoneticPr fontId="1"/>
  </si>
  <si>
    <t>23,20,20,19,18</t>
    <phoneticPr fontId="1"/>
  </si>
  <si>
    <t>しんせいはるまいあおめのう</t>
    <phoneticPr fontId="1"/>
  </si>
  <si>
    <t>さくらこうてんやまがみさま</t>
    <phoneticPr fontId="1"/>
  </si>
  <si>
    <t>しんせいひゃっかりょうらん</t>
    <phoneticPr fontId="1"/>
  </si>
  <si>
    <t>しんせいくずざくらちゃん</t>
    <phoneticPr fontId="1"/>
  </si>
  <si>
    <t>しんせいなぎなたそのべひでお</t>
    <phoneticPr fontId="1"/>
  </si>
  <si>
    <t>処23+18+19 処20+20</t>
    <phoneticPr fontId="1"/>
  </si>
  <si>
    <t>21+竜+竜+20+21,15,16,18,19</t>
    <rPh sb="3" eb="4">
      <t>リュウ</t>
    </rPh>
    <rPh sb="5" eb="6">
      <t>リュウ</t>
    </rPh>
    <phoneticPr fontId="1"/>
  </si>
  <si>
    <t>21+竜+竜+竜+20,15,16,18,19</t>
    <rPh sb="3" eb="4">
      <t>リュウ</t>
    </rPh>
    <phoneticPr fontId="1"/>
  </si>
  <si>
    <t>21+竜+竜+竜+20,15,16,18,19</t>
    <rPh sb="3" eb="4">
      <t>リュウ</t>
    </rPh>
    <rPh sb="5" eb="6">
      <t>リュウ</t>
    </rPh>
    <rPh sb="7" eb="8">
      <t>リュウ</t>
    </rPh>
    <phoneticPr fontId="1"/>
  </si>
  <si>
    <t>闇堕ち聖女の復讐</t>
    <phoneticPr fontId="1"/>
  </si>
  <si>
    <t>【シスター】ハンナ・リデル</t>
    <phoneticPr fontId="1"/>
  </si>
  <si>
    <t>桜に届く優しい声</t>
    <phoneticPr fontId="1"/>
  </si>
  <si>
    <t>[新生]花咲か娘</t>
    <phoneticPr fontId="1"/>
  </si>
  <si>
    <t>東日本→全国</t>
    <rPh sb="0" eb="3">
      <t>ヒガシニホン</t>
    </rPh>
    <phoneticPr fontId="1"/>
  </si>
  <si>
    <t>天正遣欧少年使節の母</t>
    <phoneticPr fontId="1"/>
  </si>
  <si>
    <t>しんせいはなさかむすめ</t>
    <phoneticPr fontId="1"/>
  </si>
  <si>
    <t>[新生]有馬ルチア</t>
    <phoneticPr fontId="1"/>
  </si>
  <si>
    <t>衆生済度の蓮華王</t>
    <phoneticPr fontId="1"/>
  </si>
  <si>
    <t>[新生]千手観音像</t>
    <phoneticPr fontId="1"/>
  </si>
  <si>
    <t>祭りがつなぐ友好</t>
    <phoneticPr fontId="1"/>
  </si>
  <si>
    <t>[新生]郡山うねめまつり</t>
    <phoneticPr fontId="1"/>
  </si>
  <si>
    <t>瑞々しい女王の芳香</t>
    <phoneticPr fontId="1"/>
  </si>
  <si>
    <t>[新生]アクアメロンちゃん</t>
    <phoneticPr fontId="1"/>
  </si>
  <si>
    <t>竹に雀のおいしい形</t>
    <phoneticPr fontId="1"/>
  </si>
  <si>
    <t>[新生]笹かまちゃん</t>
    <phoneticPr fontId="1"/>
  </si>
  <si>
    <t>不可能を可能にする女傑</t>
    <phoneticPr fontId="1"/>
  </si>
  <si>
    <t>[新生]【鳥武人？】赤井輝子</t>
    <phoneticPr fontId="1"/>
  </si>
  <si>
    <t>付喪面の切なる願い</t>
    <phoneticPr fontId="1"/>
  </si>
  <si>
    <t>[新生]面霊気</t>
    <phoneticPr fontId="1"/>
  </si>
  <si>
    <t>[新生]瀬戸内海のだるま太陽ちゃん</t>
    <phoneticPr fontId="1"/>
  </si>
  <si>
    <t>重なり昇る太陽</t>
    <phoneticPr fontId="1"/>
  </si>
  <si>
    <t>しんせいせとないかいのだるまたいようちゃん</t>
    <phoneticPr fontId="1"/>
  </si>
  <si>
    <t>処27+14+27</t>
    <rPh sb="0" eb="1">
      <t>ショ</t>
    </rPh>
    <phoneticPr fontId="1"/>
  </si>
  <si>
    <t>タイプ伝承・武人・姫の防30％UP　/　タイプ武人・妖怪・名物・偉人の攻13％DOWN</t>
  </si>
  <si>
    <t>タイプ【偉人】の攻30％UP　/　タイプ【妖怪】の攻20％UP</t>
  </si>
  <si>
    <t>しんせいとりぶじんあかいてるこ</t>
    <phoneticPr fontId="1"/>
  </si>
  <si>
    <t>しんせいめんれいき</t>
    <phoneticPr fontId="1"/>
  </si>
  <si>
    <t>しんせいこおりやまうねめまつり</t>
    <phoneticPr fontId="1"/>
  </si>
  <si>
    <t>しんせいささかまちゃん</t>
    <phoneticPr fontId="1"/>
  </si>
  <si>
    <t>19,18,16,15,14,13</t>
    <phoneticPr fontId="1"/>
  </si>
  <si>
    <t>しんせいあくあめろんちゃん</t>
    <phoneticPr fontId="1"/>
  </si>
  <si>
    <t>処19+13+14 処18+15 処16</t>
    <rPh sb="0" eb="1">
      <t>トコロ</t>
    </rPh>
    <rPh sb="10" eb="11">
      <t>トコロ</t>
    </rPh>
    <rPh sb="17" eb="18">
      <t>ショ</t>
    </rPh>
    <phoneticPr fontId="1"/>
  </si>
  <si>
    <t>しんせいせんじゅかんのんぞう</t>
    <phoneticPr fontId="1"/>
  </si>
  <si>
    <t>23,20,20,18,17</t>
    <phoneticPr fontId="1"/>
  </si>
  <si>
    <t>しんせいありまるちあ</t>
    <phoneticPr fontId="1"/>
  </si>
  <si>
    <t>処23+17+18 処20+20</t>
    <phoneticPr fontId="1"/>
  </si>
  <si>
    <t>21,20,20,19,19</t>
    <phoneticPr fontId="1"/>
  </si>
  <si>
    <t>しすたーはんなりでる</t>
    <phoneticPr fontId="1"/>
  </si>
  <si>
    <t>闇堕ちの冷酷英雄</t>
    <phoneticPr fontId="1"/>
  </si>
  <si>
    <t>【マフィア】源頼光</t>
    <phoneticPr fontId="1"/>
  </si>
  <si>
    <t>南国を駆けし野の虎</t>
    <phoneticPr fontId="1"/>
  </si>
  <si>
    <t>[新生]長宗我部国親</t>
    <phoneticPr fontId="1"/>
  </si>
  <si>
    <t>西日本→全国</t>
    <rPh sb="0" eb="3">
      <t>ニシニホン</t>
    </rPh>
    <phoneticPr fontId="1"/>
  </si>
  <si>
    <t>贅を極めし優雅なひと時</t>
    <phoneticPr fontId="1"/>
  </si>
  <si>
    <t>[新生]【大人の遊び】前島密</t>
    <phoneticPr fontId="1"/>
  </si>
  <si>
    <t>女子教育の開拓者</t>
    <phoneticPr fontId="1"/>
  </si>
  <si>
    <t>[新生]アリス・ベーコン</t>
    <phoneticPr fontId="1"/>
  </si>
  <si>
    <t>青白く怨み続ける炎</t>
    <phoneticPr fontId="1"/>
  </si>
  <si>
    <t>[新生]阿良の幽霊火</t>
    <phoneticPr fontId="1"/>
  </si>
  <si>
    <t>たとえ食貧乏になろうとも</t>
    <phoneticPr fontId="1"/>
  </si>
  <si>
    <t>[新生]くいだおれちゃん</t>
    <phoneticPr fontId="1"/>
  </si>
  <si>
    <t>壬申乱の最労者</t>
    <phoneticPr fontId="1"/>
  </si>
  <si>
    <t>[新生]村国男依</t>
    <phoneticPr fontId="1"/>
  </si>
  <si>
    <t>岐阜</t>
    <phoneticPr fontId="1"/>
  </si>
  <si>
    <t>螺旋竹の灯り火</t>
    <phoneticPr fontId="1"/>
  </si>
  <si>
    <t>[新生]八女提灯ちゃん</t>
    <phoneticPr fontId="1"/>
  </si>
  <si>
    <t>タイプ【妖怪】の防20％UP</t>
    <phoneticPr fontId="1"/>
  </si>
  <si>
    <t>歌仙の下積み時代</t>
    <phoneticPr fontId="1"/>
  </si>
  <si>
    <t>[新生]【歌劇団】宜秋門院丹後</t>
    <phoneticPr fontId="1"/>
  </si>
  <si>
    <t>[新生]【バーレスク】たこ焼きちゃん</t>
    <phoneticPr fontId="1"/>
  </si>
  <si>
    <t>しんせいばーれすくたこやきちゃん</t>
    <phoneticPr fontId="1"/>
  </si>
  <si>
    <t>口へと放るたこ焼きジャグリング</t>
    <phoneticPr fontId="1"/>
  </si>
  <si>
    <t>処26+14+26</t>
    <rPh sb="0" eb="1">
      <t>ショ</t>
    </rPh>
    <phoneticPr fontId="1"/>
  </si>
  <si>
    <t>しんせいやめちょうちんちゃん</t>
    <phoneticPr fontId="1"/>
  </si>
  <si>
    <t>しんせいかげきだんぎしゅうもんいんのたんご</t>
    <phoneticPr fontId="1"/>
  </si>
  <si>
    <t>しんせいおややのゆうれいび</t>
    <phoneticPr fontId="1"/>
  </si>
  <si>
    <t>しんせいむらくにのおより</t>
    <phoneticPr fontId="1"/>
  </si>
  <si>
    <t>しんせいくいだおれちゃん</t>
    <phoneticPr fontId="1"/>
  </si>
  <si>
    <t>しんせいありす・べーこん</t>
    <phoneticPr fontId="1"/>
  </si>
  <si>
    <t>25,22,21,19,18</t>
    <phoneticPr fontId="1"/>
  </si>
  <si>
    <t>処25+18+19 処22+21</t>
    <phoneticPr fontId="1"/>
  </si>
  <si>
    <t>しんせいおとなのあそびまえじまひそか</t>
    <phoneticPr fontId="1"/>
  </si>
  <si>
    <t>しんせいちょうそかべくにちか</t>
    <phoneticPr fontId="1"/>
  </si>
  <si>
    <t>まふぃあみなもとのよりみつ</t>
    <phoneticPr fontId="1"/>
  </si>
  <si>
    <t>22,21,20,19,19,16,15</t>
    <phoneticPr fontId="1"/>
  </si>
  <si>
    <t>22,22,22,21,20</t>
    <phoneticPr fontId="1"/>
  </si>
  <si>
    <t>タイプ伝承・武人・姫の攻40％UP　/　タイプ神秘・知性派・飲食の防10％DOWN</t>
  </si>
  <si>
    <t>怪しく奏でる朝顔の歌</t>
    <phoneticPr fontId="1"/>
  </si>
  <si>
    <t>【誘惑の海】加賀千代女</t>
    <phoneticPr fontId="1"/>
  </si>
  <si>
    <t>稀代の恋愛ソング小町</t>
    <phoneticPr fontId="1"/>
  </si>
  <si>
    <t>[新生]【Yシャツ】小野小町</t>
    <phoneticPr fontId="1"/>
  </si>
  <si>
    <t>鎹の姫</t>
    <phoneticPr fontId="1"/>
  </si>
  <si>
    <t>[新生]五龍局</t>
    <phoneticPr fontId="1"/>
  </si>
  <si>
    <t>猛虎の水撃</t>
    <phoneticPr fontId="1"/>
  </si>
  <si>
    <t>[新生]天水龍大神</t>
    <phoneticPr fontId="1"/>
  </si>
  <si>
    <t>貴重で新鮮生の味わい</t>
    <phoneticPr fontId="1"/>
  </si>
  <si>
    <t>[新生]生しらす丼</t>
    <phoneticPr fontId="1"/>
  </si>
  <si>
    <t>巫女が誘う幽玄の世界</t>
    <phoneticPr fontId="1"/>
  </si>
  <si>
    <t>[新生]神楽車</t>
    <phoneticPr fontId="1"/>
  </si>
  <si>
    <t>悲しみの雷撃と鎮魂の大祭</t>
    <phoneticPr fontId="1"/>
  </si>
  <si>
    <t>[新生]小夜衣</t>
    <phoneticPr fontId="1"/>
  </si>
  <si>
    <t>剣聖</t>
    <phoneticPr fontId="1"/>
  </si>
  <si>
    <t>[新生]上泉信綱</t>
    <phoneticPr fontId="1"/>
  </si>
  <si>
    <t>砂浜になびく毛並み</t>
    <phoneticPr fontId="1"/>
  </si>
  <si>
    <t>[新生]【海開き】エゾシカちゃん</t>
    <phoneticPr fontId="1"/>
  </si>
  <si>
    <t>しんせいうみびらきえぞしかちゃん</t>
    <phoneticPr fontId="1"/>
  </si>
  <si>
    <t>しんせいかみいずみのぶつな</t>
    <phoneticPr fontId="1"/>
  </si>
  <si>
    <t>しんせいなましらすどん</t>
    <phoneticPr fontId="1"/>
  </si>
  <si>
    <t>しんせいさよぎぬ</t>
    <phoneticPr fontId="1"/>
  </si>
  <si>
    <t>[新生]【うたたね】禰津夫人</t>
    <phoneticPr fontId="1"/>
  </si>
  <si>
    <t>しんせいうたたねねづふじん</t>
    <phoneticPr fontId="1"/>
  </si>
  <si>
    <t>禰津御寮人の骨休め</t>
    <phoneticPr fontId="1"/>
  </si>
  <si>
    <t>しんせいかぐらぐるま</t>
    <phoneticPr fontId="1"/>
  </si>
  <si>
    <t>しんせいあますいりゅうおおかみ</t>
    <phoneticPr fontId="1"/>
  </si>
  <si>
    <t>処 処</t>
    <phoneticPr fontId="1"/>
  </si>
  <si>
    <t>25,21,21,20,18</t>
    <phoneticPr fontId="1"/>
  </si>
  <si>
    <t>処25+18+20 処21+21</t>
    <phoneticPr fontId="1"/>
  </si>
  <si>
    <t>しんせいごりゅうのつぼね</t>
    <phoneticPr fontId="1"/>
  </si>
  <si>
    <t>予22+竜+竜+20+21,15,16,19,19</t>
    <rPh sb="4" eb="5">
      <t>リュウ</t>
    </rPh>
    <phoneticPr fontId="1"/>
  </si>
  <si>
    <t>タイプ神秘・知性派・飲食の攻45％UP　/　タイプ飲食・武人・名物の防10％DOWN</t>
  </si>
  <si>
    <t>しんせいわいしゃつおののこまち</t>
    <phoneticPr fontId="1"/>
  </si>
  <si>
    <t>ゆうわくのうみかがのちよじょ</t>
    <phoneticPr fontId="1"/>
  </si>
  <si>
    <t>2020/12/21,2021/07/18古豪戦傑ガチャ</t>
    <phoneticPr fontId="1"/>
  </si>
  <si>
    <t>2021/04/21古豪戦傑ガチャ</t>
    <phoneticPr fontId="1"/>
  </si>
  <si>
    <t>2020/11/21,2021/7/23古豪戦傑ガチャ</t>
    <phoneticPr fontId="1"/>
  </si>
  <si>
    <t>2020/12/08,19,2021/7/23古豪戦傑ガチャ</t>
    <phoneticPr fontId="1"/>
  </si>
  <si>
    <t>2020/03/20,2021/7/23古豪戦傑ガチャ</t>
    <phoneticPr fontId="1"/>
  </si>
  <si>
    <t>2021/07/18,23古豪戦傑ガチャ</t>
    <phoneticPr fontId="1"/>
  </si>
  <si>
    <t>2021/7/18,23古豪戦傑ガチャ</t>
    <phoneticPr fontId="1"/>
  </si>
  <si>
    <t>2021/07/02古豪戦傑ガチャ</t>
    <phoneticPr fontId="1"/>
  </si>
  <si>
    <t>2020/10/20,2021/07/28古豪戦傑ガチャ</t>
    <phoneticPr fontId="1"/>
  </si>
  <si>
    <t>2020/07/19,2021/07/28古豪戦傑ガチャ</t>
    <phoneticPr fontId="1"/>
  </si>
  <si>
    <t>2020/06/19,2021/07/28古豪戦傑ガチャ</t>
    <phoneticPr fontId="1"/>
  </si>
  <si>
    <t>2021/06/02古豪戦傑ガチャ</t>
    <phoneticPr fontId="1"/>
  </si>
  <si>
    <t>2021/08/02古豪戦傑ガチャ</t>
    <phoneticPr fontId="1"/>
  </si>
  <si>
    <t>悪を宿した幸魂の化身</t>
    <phoneticPr fontId="1"/>
  </si>
  <si>
    <t>【花火師】勾玉ちゃん</t>
    <phoneticPr fontId="1"/>
  </si>
  <si>
    <t>神の金をあなたにあげる</t>
    <phoneticPr fontId="1"/>
  </si>
  <si>
    <t>[新生]金の神の火</t>
    <phoneticPr fontId="1"/>
  </si>
  <si>
    <t>夜空を彩る能登の花</t>
    <phoneticPr fontId="1"/>
  </si>
  <si>
    <t>[新生]能登花火</t>
    <phoneticPr fontId="1"/>
  </si>
  <si>
    <t>幕府諜報機関元締め</t>
    <phoneticPr fontId="1"/>
  </si>
  <si>
    <t>[新生]中根正盛</t>
    <phoneticPr fontId="1"/>
  </si>
  <si>
    <t>甲賀の流星火</t>
    <phoneticPr fontId="1"/>
  </si>
  <si>
    <t>[新生]瀬古の流星ちゃん</t>
    <phoneticPr fontId="1"/>
  </si>
  <si>
    <t>怨集握食</t>
    <phoneticPr fontId="1"/>
  </si>
  <si>
    <t>[新生]がしゃどくろ</t>
    <phoneticPr fontId="1"/>
  </si>
  <si>
    <t>女袴の絢爛山車</t>
    <phoneticPr fontId="1"/>
  </si>
  <si>
    <t>[新生]笠鉾ちゃん</t>
    <phoneticPr fontId="1"/>
  </si>
  <si>
    <t>骸奪いの猫</t>
    <phoneticPr fontId="1"/>
  </si>
  <si>
    <t>[新生]火車</t>
    <phoneticPr fontId="1"/>
  </si>
  <si>
    <t>夜空に降った火の粉の雨</t>
    <phoneticPr fontId="1"/>
  </si>
  <si>
    <t>[新生]【花火】幽霊傘</t>
    <phoneticPr fontId="1"/>
  </si>
  <si>
    <t>鳥取</t>
    <phoneticPr fontId="1"/>
  </si>
  <si>
    <t>タイプ偉人・妖怪・名物の攻40％UP　/　タイプ伝承・妖怪・神秘の防10％DOWN</t>
  </si>
  <si>
    <t>タイプ伝承・武人・姫の攻80％DOWN　/　タイプ偉人・名物の防25％UP</t>
  </si>
  <si>
    <t>[新生]夏ミカンちゃん</t>
    <phoneticPr fontId="1"/>
  </si>
  <si>
    <t>しんせいなつみかんちゃん</t>
    <phoneticPr fontId="1"/>
  </si>
  <si>
    <t>スッキリ酸味と仄かな甘み</t>
    <phoneticPr fontId="1"/>
  </si>
  <si>
    <t>処27+14+26</t>
    <rPh sb="0" eb="1">
      <t>ショ</t>
    </rPh>
    <phoneticPr fontId="1"/>
  </si>
  <si>
    <t>しんせいがしゃどくろ</t>
    <phoneticPr fontId="1"/>
  </si>
  <si>
    <t>しんせいなかねまさもり</t>
    <phoneticPr fontId="1"/>
  </si>
  <si>
    <t>しんせいはなびゆうれいがさ</t>
    <phoneticPr fontId="1"/>
  </si>
  <si>
    <t>しんせいかしゃ</t>
    <phoneticPr fontId="1"/>
  </si>
  <si>
    <t>しんせいせこのりゅうせいちゃん</t>
    <phoneticPr fontId="1"/>
  </si>
  <si>
    <t>しんせいきんのかみのひ</t>
    <phoneticPr fontId="1"/>
  </si>
  <si>
    <t>30(古豪ガチャ)+21+(21+21),20,20</t>
    <rPh sb="3" eb="5">
      <t>コゴウ</t>
    </rPh>
    <phoneticPr fontId="1"/>
  </si>
  <si>
    <t>[新生]仙台青葉祭り</t>
    <phoneticPr fontId="1"/>
  </si>
  <si>
    <t>しんせいせんだいあおばまつり</t>
    <phoneticPr fontId="1"/>
  </si>
  <si>
    <t>伝統と即興のすずめ舞い</t>
    <phoneticPr fontId="1"/>
  </si>
  <si>
    <t>処27+26+14</t>
    <rPh sb="0" eb="1">
      <t>ショ</t>
    </rPh>
    <phoneticPr fontId="1"/>
  </si>
  <si>
    <t>茜に燃える怒りの火</t>
    <phoneticPr fontId="1"/>
  </si>
  <si>
    <t>21,20,19,19,17</t>
    <phoneticPr fontId="1"/>
  </si>
  <si>
    <t>21,19,19,19</t>
    <phoneticPr fontId="1"/>
  </si>
  <si>
    <t>21,18,17,16,15</t>
    <phoneticPr fontId="1"/>
  </si>
  <si>
    <t>処21+17+19 処20+19</t>
    <rPh sb="0" eb="1">
      <t>ショ</t>
    </rPh>
    <rPh sb="10" eb="11">
      <t>ショ</t>
    </rPh>
    <phoneticPr fontId="1"/>
  </si>
  <si>
    <t>処21+19+19 処19</t>
    <rPh sb="0" eb="1">
      <t>トコロ</t>
    </rPh>
    <rPh sb="10" eb="11">
      <t>トコロ</t>
    </rPh>
    <phoneticPr fontId="1"/>
  </si>
  <si>
    <t>処21+15+16 処18+17</t>
    <rPh sb="0" eb="1">
      <t>トコロ</t>
    </rPh>
    <rPh sb="10" eb="11">
      <t>トコロ</t>
    </rPh>
    <phoneticPr fontId="1"/>
  </si>
  <si>
    <t>処15+14+16 処多数</t>
    <rPh sb="0" eb="1">
      <t>トコロ</t>
    </rPh>
    <rPh sb="10" eb="11">
      <t>トコロ</t>
    </rPh>
    <rPh sb="11" eb="13">
      <t>タスウ</t>
    </rPh>
    <phoneticPr fontId="1"/>
  </si>
  <si>
    <t>処14+14+14 処多数</t>
    <rPh sb="0" eb="1">
      <t>トコロ</t>
    </rPh>
    <rPh sb="10" eb="11">
      <t>トコロ</t>
    </rPh>
    <rPh sb="11" eb="13">
      <t>タスウ</t>
    </rPh>
    <phoneticPr fontId="1"/>
  </si>
  <si>
    <t>【宴の破壊者】茜姫</t>
    <phoneticPr fontId="1"/>
  </si>
  <si>
    <t>蝶々凝聚</t>
    <phoneticPr fontId="1"/>
  </si>
  <si>
    <t>[新生]マダム・バタフライ</t>
    <phoneticPr fontId="1"/>
  </si>
  <si>
    <t>地獄に響く雀の鳴声</t>
    <phoneticPr fontId="1"/>
  </si>
  <si>
    <t>[新生]雀地獄</t>
    <phoneticPr fontId="1"/>
  </si>
  <si>
    <t>諸国を巡るかぶき踊り</t>
    <phoneticPr fontId="1"/>
  </si>
  <si>
    <t>[新生]【カーニバル】出雲阿国</t>
    <phoneticPr fontId="1"/>
  </si>
  <si>
    <t>美と愛と女神の輝き</t>
    <phoneticPr fontId="1"/>
  </si>
  <si>
    <t>[新生]金星</t>
    <phoneticPr fontId="1"/>
  </si>
  <si>
    <t>西国からの気品</t>
    <phoneticPr fontId="1"/>
  </si>
  <si>
    <t>[新生]尾張七宝ちゃん</t>
    <phoneticPr fontId="1"/>
  </si>
  <si>
    <t>美肌を促す有名豆</t>
    <phoneticPr fontId="1"/>
  </si>
  <si>
    <t>[新生]だだちゃ豆</t>
    <phoneticPr fontId="1"/>
  </si>
  <si>
    <t>秘められたダンスの才能</t>
    <phoneticPr fontId="1"/>
  </si>
  <si>
    <t>[新生]【カーニバル】亀寿姫</t>
    <phoneticPr fontId="1"/>
  </si>
  <si>
    <t>兄へ返す畠山の家</t>
    <phoneticPr fontId="1"/>
  </si>
  <si>
    <t>[新生]畠山満慶</t>
    <phoneticPr fontId="1"/>
  </si>
  <si>
    <t>タイプ【武人】の攻90％UP　/　タイプ姫・伝承の攻30％UP</t>
  </si>
  <si>
    <t>タイプ【飲食】の攻30％UP　/　タイプ【知性派】の攻20％UP</t>
  </si>
  <si>
    <t>しんせいはたけやまみつのり</t>
    <phoneticPr fontId="1"/>
  </si>
  <si>
    <t>しんせいきんせい</t>
    <phoneticPr fontId="1"/>
  </si>
  <si>
    <t>しんせいだだちゃまめ</t>
    <phoneticPr fontId="1"/>
  </si>
  <si>
    <t>処16+14+15 処多数</t>
    <rPh sb="0" eb="1">
      <t>トコロ</t>
    </rPh>
    <rPh sb="10" eb="11">
      <t>トコロ</t>
    </rPh>
    <rPh sb="11" eb="13">
      <t>タスウ</t>
    </rPh>
    <phoneticPr fontId="1"/>
  </si>
  <si>
    <t>しんせいかーにばるかめじゅひめ</t>
    <phoneticPr fontId="1"/>
  </si>
  <si>
    <t>しんせいおわりしっぽうちゃん</t>
    <phoneticPr fontId="1"/>
  </si>
  <si>
    <t>しんせいかーにばるいずものおくに</t>
    <phoneticPr fontId="1"/>
  </si>
  <si>
    <t>26,23,22,21,20</t>
    <phoneticPr fontId="1"/>
  </si>
  <si>
    <t>処26+20+21 処23+22</t>
    <phoneticPr fontId="1"/>
  </si>
  <si>
    <t>しんせいすずめじごく</t>
    <phoneticPr fontId="1"/>
  </si>
  <si>
    <t>23,22,21,20,18,17</t>
    <phoneticPr fontId="1"/>
  </si>
  <si>
    <t>しんせいのとはなび</t>
    <phoneticPr fontId="1"/>
  </si>
  <si>
    <t>はなびしまがたまちゃん</t>
    <phoneticPr fontId="1"/>
  </si>
  <si>
    <t>しんせいかさぼこちゃん</t>
    <phoneticPr fontId="1"/>
  </si>
  <si>
    <t>23,23,23,22,22</t>
    <phoneticPr fontId="1"/>
  </si>
  <si>
    <t>うたげのはかいしゃあかねひめ</t>
    <phoneticPr fontId="1"/>
  </si>
  <si>
    <t>しんせいまだむばたふらい</t>
    <phoneticPr fontId="1"/>
  </si>
  <si>
    <t>2021/04/15古豪戦傑ガチャ</t>
    <phoneticPr fontId="1"/>
  </si>
  <si>
    <t>悪戯か呪いか究極の選択</t>
    <phoneticPr fontId="1"/>
  </si>
  <si>
    <t>【魔糖】ハロウィンパティシエール</t>
    <phoneticPr fontId="1"/>
  </si>
  <si>
    <t>塩とコショウと騎士の称号</t>
    <phoneticPr fontId="1"/>
  </si>
  <si>
    <t>[新生]サーロインステーキちゃん</t>
    <phoneticPr fontId="1"/>
  </si>
  <si>
    <t>響き渡る一瞬の攻撃</t>
    <phoneticPr fontId="1"/>
  </si>
  <si>
    <t>[新生]【ハロウィン】覚</t>
    <phoneticPr fontId="1"/>
  </si>
  <si>
    <t>包帯から滴る果汁</t>
    <phoneticPr fontId="1"/>
  </si>
  <si>
    <t>[新生]【ハロウィン】キウイフルーツちゃん</t>
    <phoneticPr fontId="1"/>
  </si>
  <si>
    <t>暗闇に溶け込む妖しい眼</t>
    <phoneticPr fontId="1"/>
  </si>
  <si>
    <t>[新生]黒ネコちゃん</t>
    <phoneticPr fontId="1"/>
  </si>
  <si>
    <t>秋の大仮装パレード</t>
    <phoneticPr fontId="1"/>
  </si>
  <si>
    <t>[新生]ハロウィンパレード</t>
    <phoneticPr fontId="1"/>
  </si>
  <si>
    <t>まだら蜘蛛糸</t>
    <phoneticPr fontId="1"/>
  </si>
  <si>
    <t>[新生]土蜘蛛</t>
    <phoneticPr fontId="1"/>
  </si>
  <si>
    <t>奈良</t>
    <phoneticPr fontId="1"/>
  </si>
  <si>
    <t>蛇の純愛物語</t>
    <phoneticPr fontId="1"/>
  </si>
  <si>
    <t>[新生]篠崎八幡神社の蛇の枕石</t>
    <phoneticPr fontId="1"/>
  </si>
  <si>
    <t>日本古来の健康果物</t>
    <phoneticPr fontId="1"/>
  </si>
  <si>
    <t>[新生]甘柿ちゃん</t>
    <phoneticPr fontId="1"/>
  </si>
  <si>
    <t>しんせいつちぐも</t>
    <phoneticPr fontId="1"/>
  </si>
  <si>
    <t>しんせいくろねこちゃん</t>
    <phoneticPr fontId="1"/>
  </si>
  <si>
    <t>しんせいしのざきはちまんじんじゃのへびのまくらいし</t>
    <phoneticPr fontId="1"/>
  </si>
  <si>
    <t>しんせいあまがきちゃん</t>
    <phoneticPr fontId="1"/>
  </si>
  <si>
    <t>しんせいはろうぃんぱれーど</t>
    <phoneticPr fontId="1"/>
  </si>
  <si>
    <t>しんせいはろうぃんきういふるーつちゃん</t>
    <phoneticPr fontId="1"/>
  </si>
  <si>
    <t>タイプ神秘・知性派・飲食の防40％UP　/　タイプ飲食・武人・名物の攻10％DOWN</t>
  </si>
  <si>
    <t>タイプ神秘・知性派の防45％UP　/　タイプ【飲食】の防15％UP</t>
  </si>
  <si>
    <t>タイプ【知性派】の防35％UP　/　タイプ神秘・飲食の防25％UP</t>
  </si>
  <si>
    <t>[新生]ジャック・オ・ランタン</t>
    <phoneticPr fontId="1"/>
  </si>
  <si>
    <t>27,23,23,21,20</t>
    <phoneticPr fontId="1"/>
  </si>
  <si>
    <t>処27+20+21 処23+23</t>
    <phoneticPr fontId="1"/>
  </si>
  <si>
    <t>しんせいはろうぃんさとり</t>
    <phoneticPr fontId="1"/>
  </si>
  <si>
    <t>24,23,22,21,21,18,17</t>
    <phoneticPr fontId="1"/>
  </si>
  <si>
    <t>24,24,23,23,22</t>
    <phoneticPr fontId="1"/>
  </si>
  <si>
    <t>しんせいさーろいんすてーきちゃん</t>
    <phoneticPr fontId="1"/>
  </si>
  <si>
    <t>まとうはろうぃんぱてぃしえーる</t>
    <phoneticPr fontId="1"/>
  </si>
  <si>
    <t>【総選挙】天璋院篤姫</t>
    <phoneticPr fontId="1"/>
  </si>
  <si>
    <t>【サーカス】イバラキヤンキー</t>
    <phoneticPr fontId="1"/>
  </si>
  <si>
    <t>【雨姫の逆襲】濃姫</t>
    <phoneticPr fontId="1"/>
  </si>
  <si>
    <t>【七夕】富山ブラック</t>
    <phoneticPr fontId="1"/>
  </si>
  <si>
    <t>【恐怖の病棟】海座頭</t>
    <phoneticPr fontId="1"/>
  </si>
  <si>
    <t>【遊園地ハザード】宗義智</t>
    <phoneticPr fontId="1"/>
  </si>
  <si>
    <t>【妖怪大戦】邪女神</t>
    <phoneticPr fontId="1"/>
  </si>
  <si>
    <t>[新生]ツキノワグマ</t>
    <phoneticPr fontId="1"/>
  </si>
  <si>
    <t>[新生]お瑠璃の方</t>
    <phoneticPr fontId="1"/>
  </si>
  <si>
    <t>[新生]【ヴィランズ】豊臣秀頼</t>
    <phoneticPr fontId="1"/>
  </si>
  <si>
    <t>[新生]【占い師】オリーブちゃん</t>
    <phoneticPr fontId="1"/>
  </si>
  <si>
    <t>[新生]幸若舞</t>
    <phoneticPr fontId="1"/>
  </si>
  <si>
    <t>しんせいじゃっくおらんたん</t>
    <phoneticPr fontId="1"/>
  </si>
  <si>
    <t>案内人ウィルオウィスプ・ジャック</t>
    <phoneticPr fontId="1"/>
  </si>
  <si>
    <t>薩摩おごじょの波乱の一生</t>
    <phoneticPr fontId="1"/>
  </si>
  <si>
    <t>2019/05防衛戦</t>
    <phoneticPr fontId="1"/>
  </si>
  <si>
    <t>2019/06防衛戦</t>
    <rPh sb="7" eb="10">
      <t>ボウエイセン</t>
    </rPh>
    <phoneticPr fontId="1"/>
  </si>
  <si>
    <t>2018/07防衛戦</t>
    <rPh sb="7" eb="10">
      <t>ボウエイセン</t>
    </rPh>
    <phoneticPr fontId="1"/>
  </si>
  <si>
    <t>2019/09防衛戦</t>
    <rPh sb="7" eb="10">
      <t>ボウエイセン</t>
    </rPh>
    <phoneticPr fontId="1"/>
  </si>
  <si>
    <t>2019/07防衛戦</t>
    <rPh sb="7" eb="10">
      <t>ボウエイセン</t>
    </rPh>
    <phoneticPr fontId="1"/>
  </si>
  <si>
    <t>2019/03防衛戦</t>
    <rPh sb="7" eb="10">
      <t>ボウエイセン</t>
    </rPh>
    <phoneticPr fontId="1"/>
  </si>
  <si>
    <t>図鑑済</t>
    <rPh sb="0" eb="2">
      <t>ズカン</t>
    </rPh>
    <rPh sb="2" eb="3">
      <t>ズ</t>
    </rPh>
    <phoneticPr fontId="1"/>
  </si>
  <si>
    <t>2018/08防衛戦</t>
    <rPh sb="7" eb="10">
      <t>ボウエイセン</t>
    </rPh>
    <phoneticPr fontId="1"/>
  </si>
  <si>
    <t>2019/10防衛戦</t>
    <rPh sb="7" eb="10">
      <t>ボウエイセン</t>
    </rPh>
    <phoneticPr fontId="1"/>
  </si>
  <si>
    <t>そうせんきょてんしょういんあつひめ</t>
    <phoneticPr fontId="1"/>
  </si>
  <si>
    <t>2021/10/03古豪戦傑ガチャ</t>
    <phoneticPr fontId="1"/>
  </si>
  <si>
    <t>2021/02/18, 10/11古豪戦傑ガチャ</t>
    <phoneticPr fontId="1"/>
  </si>
  <si>
    <t>2021/01/08, 10/23古豪戦傑ガチャ</t>
    <phoneticPr fontId="1"/>
  </si>
  <si>
    <t>2021/02/08, 10/7古豪戦傑ガチャ</t>
    <phoneticPr fontId="1"/>
  </si>
  <si>
    <t>26(古豪ガチャ)+22(古豪ガチャ)+23(古豪ガチャ),17,18,18,18</t>
    <rPh sb="23" eb="25">
      <t>コゴウ</t>
    </rPh>
    <phoneticPr fontId="1"/>
  </si>
  <si>
    <t>21+16+18+19+20,15</t>
    <phoneticPr fontId="1"/>
  </si>
  <si>
    <t>2021/11/03古豪戦傑ガチャ</t>
    <rPh sb="10" eb="12">
      <t>コゴウ</t>
    </rPh>
    <rPh sb="12" eb="14">
      <t>センケツ</t>
    </rPh>
    <phoneticPr fontId="1"/>
  </si>
  <si>
    <t>背筋の凍る大笑い</t>
    <phoneticPr fontId="1"/>
  </si>
  <si>
    <t>【マフィア】笑い女</t>
    <phoneticPr fontId="1"/>
  </si>
  <si>
    <t>着物が映える中秋の名月</t>
    <phoneticPr fontId="1"/>
  </si>
  <si>
    <t>[新生]【着物の日】カグヤ</t>
    <phoneticPr fontId="1"/>
  </si>
  <si>
    <t>２つの海を巡った稀代の功績</t>
    <phoneticPr fontId="1"/>
  </si>
  <si>
    <t>[新生]支倉常長</t>
    <phoneticPr fontId="1"/>
  </si>
  <si>
    <t>密着した肉体への讃美歌</t>
    <phoneticPr fontId="1"/>
  </si>
  <si>
    <t>[新生]ボディコンちゃん</t>
    <phoneticPr fontId="1"/>
  </si>
  <si>
    <t>一騎打ちルールの提案</t>
    <phoneticPr fontId="1"/>
  </si>
  <si>
    <t>[新生]【ミリタリー】三村鶴</t>
    <phoneticPr fontId="1"/>
  </si>
  <si>
    <t>操縦する鉄の塊</t>
    <phoneticPr fontId="1"/>
  </si>
  <si>
    <t>[新生]【銃器】ベーゴマ</t>
    <phoneticPr fontId="1"/>
  </si>
  <si>
    <t>妲己の誘惑</t>
    <phoneticPr fontId="1"/>
  </si>
  <si>
    <t>[新生]【囚われ姫】妲己のお百</t>
    <phoneticPr fontId="1"/>
  </si>
  <si>
    <t>機械と人間との共存</t>
    <phoneticPr fontId="1"/>
  </si>
  <si>
    <t>[新生]【スチームパンク】キジムナー</t>
    <phoneticPr fontId="1"/>
  </si>
  <si>
    <t>タイプ【飲食】の防20％UP</t>
    <phoneticPr fontId="1"/>
  </si>
  <si>
    <t>イーハトーブ</t>
    <phoneticPr fontId="1"/>
  </si>
  <si>
    <t>[新生]宮沢賢治</t>
    <phoneticPr fontId="1"/>
  </si>
  <si>
    <t>しんせいみりたりーみむらつる</t>
    <phoneticPr fontId="1"/>
  </si>
  <si>
    <t>しんせいとらわれひめだっきのおひゃく</t>
    <phoneticPr fontId="1"/>
  </si>
  <si>
    <t>しんせいすちーむぱんくきじむなー</t>
    <phoneticPr fontId="1"/>
  </si>
  <si>
    <t>しんせいみやざわけんじ</t>
    <phoneticPr fontId="1"/>
  </si>
  <si>
    <t>浅草を彩る赤</t>
    <phoneticPr fontId="1"/>
  </si>
  <si>
    <t>[新生]ほおずき市</t>
    <phoneticPr fontId="1"/>
  </si>
  <si>
    <t>しんせいほおずきいち</t>
    <phoneticPr fontId="1"/>
  </si>
  <si>
    <t>しんせいきもののひかぐや</t>
    <phoneticPr fontId="1"/>
  </si>
  <si>
    <t>全タイプの攻40％UP　/　全タイプの防25％DOWN</t>
  </si>
  <si>
    <t>タイプ偉人・名物の攻30％UP　/　タイプ【妖怪】の攻15％UP</t>
  </si>
  <si>
    <t>タイプ伝承・武人・姫の攻40％UP　/　タイプ武人・飲食・妖怪の防10％DOWN</t>
  </si>
  <si>
    <t>2021/01/18,05/25古豪戦傑ガチャ</t>
    <phoneticPr fontId="1"/>
  </si>
  <si>
    <t>2021/05/06古豪戦傑ガチャ</t>
    <phoneticPr fontId="1"/>
  </si>
  <si>
    <t>15+14+(15+15),11(LMG),12(LMG)</t>
    <phoneticPr fontId="1"/>
  </si>
  <si>
    <t>2021/04/08,11/11古豪戦傑ガチャ</t>
    <phoneticPr fontId="1"/>
  </si>
  <si>
    <t>2021/11/03,07,11古豪戦傑ガチャ</t>
    <rPh sb="16" eb="18">
      <t>コゴウ</t>
    </rPh>
    <rPh sb="18" eb="20">
      <t>センケツ</t>
    </rPh>
    <phoneticPr fontId="1"/>
  </si>
  <si>
    <t>22+竜+竜+20+21,15,16,19,19</t>
    <rPh sb="3" eb="4">
      <t>リュウ</t>
    </rPh>
    <rPh sb="5" eb="6">
      <t>リュウ</t>
    </rPh>
    <phoneticPr fontId="1"/>
  </si>
  <si>
    <t>行き渡る心遣いと食事</t>
    <phoneticPr fontId="1"/>
  </si>
  <si>
    <t>[新生]【宅配】天英院</t>
    <phoneticPr fontId="1"/>
  </si>
  <si>
    <t>金ぴか銭湯に名物おばちゃんあり</t>
    <phoneticPr fontId="1"/>
  </si>
  <si>
    <t>[新生]【お風呂】大阪のおばちゃん</t>
    <phoneticPr fontId="1"/>
  </si>
  <si>
    <t>聖夜の贈り物</t>
    <phoneticPr fontId="1"/>
  </si>
  <si>
    <t>[新生]トナカイ</t>
    <phoneticPr fontId="1"/>
  </si>
  <si>
    <t>溶岩から生まれた氷柱</t>
    <phoneticPr fontId="1"/>
  </si>
  <si>
    <t>[新生]鳴沢氷穴</t>
    <phoneticPr fontId="1"/>
  </si>
  <si>
    <t>幕末志士の常夏サンタ</t>
    <phoneticPr fontId="1"/>
  </si>
  <si>
    <t>[新生]【水着X’mas】高杉晋作</t>
    <phoneticPr fontId="1"/>
  </si>
  <si>
    <t>王手・飛車・プレゼント取り</t>
    <phoneticPr fontId="1"/>
  </si>
  <si>
    <t>[新生]【Xmas】棋士</t>
    <phoneticPr fontId="1"/>
  </si>
  <si>
    <t>光臨せし自らのプレゼント</t>
    <phoneticPr fontId="1"/>
  </si>
  <si>
    <t>[新生]【水着X’mas】天降女子</t>
    <phoneticPr fontId="1"/>
  </si>
  <si>
    <t>雨上がりの虹</t>
    <phoneticPr fontId="1"/>
  </si>
  <si>
    <t>[新生]虹色の魔術師テンチャ</t>
    <phoneticPr fontId="1"/>
  </si>
  <si>
    <t>聖邪の尼将軍</t>
    <phoneticPr fontId="1"/>
  </si>
  <si>
    <t>【ビキニXmas】北条政子</t>
    <phoneticPr fontId="1"/>
  </si>
  <si>
    <t>しんせいにじいろのまじゅつしてんちゃ</t>
    <phoneticPr fontId="1"/>
  </si>
  <si>
    <t>タイプ武人・飲食・妖怪の防85％DOWN　/　タイプ姫・伝承の攻30％UP</t>
  </si>
  <si>
    <t>タイプ神秘・知性派・飲食の防40％UP　/　タイプ神秘・知性派・飲食の攻10％DOWN</t>
  </si>
  <si>
    <t>タイプ知性派・飲食の防30％UP　/　タイプ【神秘】の防20％UP</t>
  </si>
  <si>
    <t>タイプ【姫】の攻30％UP　/　タイプ【伝承】の攻20％UP</t>
  </si>
  <si>
    <t>しんせいみずぎくりすますたかすぎしんさく</t>
    <phoneticPr fontId="1"/>
  </si>
  <si>
    <t>しんせいたくはいてんえいいん</t>
    <phoneticPr fontId="1"/>
  </si>
  <si>
    <t>しんせいおふろおおさかのおばちゃん</t>
    <phoneticPr fontId="1"/>
  </si>
  <si>
    <t>しんせいとなかい</t>
    <phoneticPr fontId="1"/>
  </si>
  <si>
    <t>しんせいなるさわひょうけつ</t>
    <phoneticPr fontId="1"/>
  </si>
  <si>
    <t>しんせいくりすますきし</t>
    <phoneticPr fontId="1"/>
  </si>
  <si>
    <t>27,23,22,21,20</t>
    <phoneticPr fontId="1"/>
  </si>
  <si>
    <t>しんせいみずぎくりすますあもろうなぐ</t>
    <phoneticPr fontId="1"/>
  </si>
  <si>
    <t>処27+20+21 処23+22</t>
    <phoneticPr fontId="1"/>
  </si>
  <si>
    <t>23,23,22,21,20,18,17</t>
    <phoneticPr fontId="1"/>
  </si>
  <si>
    <t>予23+20+21+22+23,17,18</t>
    <phoneticPr fontId="1"/>
  </si>
  <si>
    <t>23,23,23,23,22</t>
    <phoneticPr fontId="1"/>
  </si>
  <si>
    <t>びきにくりすますほうじょうまさこ</t>
    <phoneticPr fontId="1"/>
  </si>
  <si>
    <t>[新生]クリームパン</t>
    <phoneticPr fontId="1"/>
  </si>
  <si>
    <t>零れ落ちるカスタード</t>
    <phoneticPr fontId="1"/>
  </si>
  <si>
    <t>しんせいくりーむぱん</t>
    <phoneticPr fontId="1"/>
  </si>
  <si>
    <t>27,24,23,22,20</t>
    <phoneticPr fontId="1"/>
  </si>
  <si>
    <t>25,24,24,24,22</t>
    <phoneticPr fontId="1"/>
  </si>
  <si>
    <t>まふぃあわらいおんな</t>
    <phoneticPr fontId="1"/>
  </si>
  <si>
    <t>しんせいじゅうきべーごま</t>
    <phoneticPr fontId="1"/>
  </si>
  <si>
    <t>しんせいぼでぃこんちゃん</t>
    <phoneticPr fontId="1"/>
  </si>
  <si>
    <t>しんせいはせくらつねなが</t>
    <phoneticPr fontId="1"/>
  </si>
  <si>
    <t>処27+20+22 処24+23</t>
    <phoneticPr fontId="1"/>
  </si>
  <si>
    <t>図鑑済 処20</t>
    <rPh sb="0" eb="2">
      <t>ズカン</t>
    </rPh>
    <rPh sb="2" eb="3">
      <t>ズ</t>
    </rPh>
    <rPh sb="4" eb="5">
      <t>ショ</t>
    </rPh>
    <phoneticPr fontId="1"/>
  </si>
  <si>
    <t>[20]</t>
    <phoneticPr fontId="1"/>
  </si>
  <si>
    <t>処22+18+20 処21+20</t>
    <rPh sb="0" eb="1">
      <t>ショ</t>
    </rPh>
    <rPh sb="10" eb="11">
      <t>ショ</t>
    </rPh>
    <phoneticPr fontId="1"/>
  </si>
  <si>
    <t>処22+20+20 処20</t>
    <rPh sb="0" eb="1">
      <t>トコロ</t>
    </rPh>
    <rPh sb="10" eb="11">
      <t>トコロ</t>
    </rPh>
    <phoneticPr fontId="1"/>
  </si>
  <si>
    <t>処22+16+17 処19+18</t>
    <rPh sb="0" eb="1">
      <t>トコロ</t>
    </rPh>
    <rPh sb="10" eb="11">
      <t>トコロ</t>
    </rPh>
    <phoneticPr fontId="1"/>
  </si>
  <si>
    <t>処16+15+17 処多数</t>
    <rPh sb="0" eb="1">
      <t>トコロ</t>
    </rPh>
    <rPh sb="10" eb="11">
      <t>トコロ</t>
    </rPh>
    <rPh sb="11" eb="13">
      <t>タスウ</t>
    </rPh>
    <phoneticPr fontId="1"/>
  </si>
  <si>
    <t>23,</t>
    <phoneticPr fontId="1"/>
  </si>
  <si>
    <t>23,19,18</t>
    <phoneticPr fontId="1"/>
  </si>
  <si>
    <t>22,21,20,20,18</t>
    <phoneticPr fontId="1"/>
  </si>
  <si>
    <t>22,20,20,20</t>
    <phoneticPr fontId="1"/>
  </si>
  <si>
    <t>[新生]【迎春】まりも</t>
    <phoneticPr fontId="1"/>
  </si>
  <si>
    <t>しんせいげいしゅんまりも</t>
    <phoneticPr fontId="1"/>
  </si>
  <si>
    <t>ご来光で光合成</t>
    <phoneticPr fontId="1"/>
  </si>
  <si>
    <t>魔響天声</t>
    <phoneticPr fontId="1"/>
  </si>
  <si>
    <t>【弁天憑依】かんなぎ</t>
    <phoneticPr fontId="1"/>
  </si>
  <si>
    <t>能登平定した守護神</t>
    <phoneticPr fontId="1"/>
  </si>
  <si>
    <t>[新生]天之冬衣神</t>
    <phoneticPr fontId="1"/>
  </si>
  <si>
    <t>無言で探る巻物争奪</t>
    <phoneticPr fontId="1"/>
  </si>
  <si>
    <t>[新生]宮島の暗闘</t>
    <phoneticPr fontId="1"/>
  </si>
  <si>
    <t>科学と工業を融合せし名所長</t>
    <phoneticPr fontId="1"/>
  </si>
  <si>
    <t>[新生]大河内正敏</t>
    <phoneticPr fontId="1"/>
  </si>
  <si>
    <t>情熱的な秀歌と行動</t>
    <phoneticPr fontId="1"/>
  </si>
  <si>
    <t>[新生]和泉式部</t>
    <phoneticPr fontId="1"/>
  </si>
  <si>
    <t>荒神の祭祀者</t>
    <phoneticPr fontId="1"/>
  </si>
  <si>
    <t>[新生]ミカヨリヒメ</t>
    <phoneticPr fontId="1"/>
  </si>
  <si>
    <t>鷹山公の名政</t>
    <phoneticPr fontId="1"/>
  </si>
  <si>
    <t>[新生]上杉鷹山</t>
    <phoneticPr fontId="1"/>
  </si>
  <si>
    <t>鬼退治</t>
    <phoneticPr fontId="1"/>
  </si>
  <si>
    <t>[新生]桃太郎</t>
    <phoneticPr fontId="1"/>
  </si>
  <si>
    <t>祭囃子の覇者</t>
    <phoneticPr fontId="1"/>
  </si>
  <si>
    <t>[新生]獅子舞</t>
    <phoneticPr fontId="1"/>
  </si>
  <si>
    <t>タイプ知性派・飲食の攻30％UP　/　タイプ【神秘】の攻15％UP</t>
  </si>
  <si>
    <t>タイプ飲食・武人・名物の攻80％DOWN　/　タイプ知性派・飲食の防30％UP</t>
  </si>
  <si>
    <t>タイプ【神秘】の攻30％UP　/　タイプ【飲食】の攻20％UP</t>
  </si>
  <si>
    <t>しんせいししまい</t>
    <phoneticPr fontId="1"/>
  </si>
  <si>
    <t>しんせいももたろう</t>
    <phoneticPr fontId="1"/>
  </si>
  <si>
    <t>しんせいうえすぎようざん</t>
    <phoneticPr fontId="1"/>
  </si>
  <si>
    <t>処17+15+16 処多数</t>
    <rPh sb="0" eb="1">
      <t>トコロ</t>
    </rPh>
    <rPh sb="10" eb="11">
      <t>トコロ</t>
    </rPh>
    <rPh sb="11" eb="13">
      <t>タスウ</t>
    </rPh>
    <phoneticPr fontId="1"/>
  </si>
  <si>
    <t>しんせいいずみしきぶ</t>
    <phoneticPr fontId="1"/>
  </si>
  <si>
    <t>しんせいあめのふゆきぬのかみ</t>
    <phoneticPr fontId="1"/>
  </si>
  <si>
    <t>しんせいみかよりひめ</t>
    <phoneticPr fontId="1"/>
  </si>
  <si>
    <t>しんせいおおこうちまさとし</t>
    <phoneticPr fontId="1"/>
  </si>
  <si>
    <t>28,24,24,22,21</t>
    <phoneticPr fontId="1"/>
  </si>
  <si>
    <t>しんせいみやじまのだんまり</t>
    <phoneticPr fontId="1"/>
  </si>
  <si>
    <t>処28+21+22 処24+24</t>
    <phoneticPr fontId="1"/>
  </si>
  <si>
    <t>25,24,23,22,22,19,18</t>
    <phoneticPr fontId="1"/>
  </si>
  <si>
    <t>予25+22+22+23+24,18,19</t>
    <phoneticPr fontId="1"/>
  </si>
  <si>
    <t>べんてんひょういかんなぎ</t>
    <phoneticPr fontId="1"/>
  </si>
  <si>
    <t>25,24,24,24,23</t>
    <phoneticPr fontId="1"/>
  </si>
  <si>
    <t>美しすぎる鬼の姫</t>
    <phoneticPr fontId="1"/>
  </si>
  <si>
    <t>【節分祭】末弘ヒロ子</t>
    <phoneticPr fontId="1"/>
  </si>
  <si>
    <t>炙り鰹と薬味のコラボ</t>
    <phoneticPr fontId="1"/>
  </si>
  <si>
    <t>[新生]カツオのたたき</t>
    <phoneticPr fontId="1"/>
  </si>
  <si>
    <t>しんせいかつおのたたき</t>
    <phoneticPr fontId="1"/>
  </si>
  <si>
    <t>福を招く豆と白椿</t>
    <phoneticPr fontId="1"/>
  </si>
  <si>
    <t>[新生]【節分パニック】白椿の精</t>
    <phoneticPr fontId="1"/>
  </si>
  <si>
    <t>恋しい思いを綴る鬼姫</t>
    <phoneticPr fontId="1"/>
  </si>
  <si>
    <t>[新生]【節分】鏡王女</t>
    <phoneticPr fontId="1"/>
  </si>
  <si>
    <t>節分を彩る金頭</t>
    <phoneticPr fontId="1"/>
  </si>
  <si>
    <t>[新生]カナガシラちゃん</t>
    <phoneticPr fontId="1"/>
  </si>
  <si>
    <t>わんぱく鬼っ子大暴れ</t>
    <phoneticPr fontId="1"/>
  </si>
  <si>
    <t>[新生]鬼っ子ちゃん</t>
    <phoneticPr fontId="1"/>
  </si>
  <si>
    <t>２００年を越える伊達の魂</t>
    <phoneticPr fontId="1"/>
  </si>
  <si>
    <t>[新生]【幕末】五郎八姫</t>
    <phoneticPr fontId="1"/>
  </si>
  <si>
    <t>政治と戦場の二つ名</t>
    <phoneticPr fontId="1"/>
  </si>
  <si>
    <t>[新生]丹羽長秀</t>
    <phoneticPr fontId="1"/>
  </si>
  <si>
    <t>首切れ馬の徘徊</t>
    <phoneticPr fontId="1"/>
  </si>
  <si>
    <t>[新生]首切れ馬</t>
    <phoneticPr fontId="1"/>
  </si>
  <si>
    <t>しんせいかながしらちゃん</t>
    <phoneticPr fontId="1"/>
  </si>
  <si>
    <t>しんせいにわながひで</t>
    <phoneticPr fontId="1"/>
  </si>
  <si>
    <t>しんせいくびきれうま</t>
    <phoneticPr fontId="1"/>
  </si>
  <si>
    <t>しんせいばくまついろはひめ</t>
    <phoneticPr fontId="1"/>
  </si>
  <si>
    <t>しんせいおにっこちゃん</t>
    <phoneticPr fontId="1"/>
  </si>
  <si>
    <t>しんせいせつぶんかがみのおおきみ</t>
    <phoneticPr fontId="1"/>
  </si>
  <si>
    <t>しんせいせつぶんぱにっくしろつばきのせい</t>
    <phoneticPr fontId="1"/>
  </si>
  <si>
    <t>予25+竜+竜+23+24,18,19,22,22</t>
    <rPh sb="4" eb="5">
      <t>リュウ</t>
    </rPh>
    <rPh sb="6" eb="7">
      <t>リュウ</t>
    </rPh>
    <phoneticPr fontId="1"/>
  </si>
  <si>
    <t>せつぶんさいすえひろひろこ</t>
    <phoneticPr fontId="1"/>
  </si>
  <si>
    <t>[新生]八文字長義</t>
    <phoneticPr fontId="1"/>
  </si>
  <si>
    <t>兜を断ち斬る一撃</t>
    <phoneticPr fontId="1"/>
  </si>
  <si>
    <t>タイプ偉人・妖怪・名物の防45％UP　/　タイプ飲食・武人・名物の攻10％DOWN</t>
  </si>
  <si>
    <t>タイプ神秘・知性派の攻45％UP　/　タイプ【飲食】の攻15％UP</t>
  </si>
  <si>
    <t>タイプ【知性派】の防30％UP　/　タイプ【神秘】の防20％UP</t>
  </si>
  <si>
    <t>しんせいはちもんじちょうぎ</t>
    <phoneticPr fontId="1"/>
  </si>
  <si>
    <t>23+竜+竜+絶大+22,17,18,20,21</t>
    <rPh sb="3" eb="4">
      <t>リュウ</t>
    </rPh>
    <rPh sb="5" eb="6">
      <t>リュウ</t>
    </rPh>
    <rPh sb="7" eb="9">
      <t>ゼツダイ</t>
    </rPh>
    <phoneticPr fontId="1"/>
  </si>
  <si>
    <t>執念絶唱</t>
    <phoneticPr fontId="1"/>
  </si>
  <si>
    <t>【ダークアイドル】文車妖妃</t>
    <phoneticPr fontId="1"/>
  </si>
  <si>
    <t>白き衣の戦乙女</t>
    <phoneticPr fontId="1"/>
  </si>
  <si>
    <t>[新生]【Yシャツ】赤井輝子</t>
    <phoneticPr fontId="1"/>
  </si>
  <si>
    <t>止まらない絶品饒舌</t>
    <phoneticPr fontId="1"/>
  </si>
  <si>
    <t>[新生]【アイドル】牛タン娘</t>
    <phoneticPr fontId="1"/>
  </si>
  <si>
    <t>二鬼神を使役する演奏者</t>
    <phoneticPr fontId="1"/>
  </si>
  <si>
    <t>[新生]【バンド】役小角</t>
    <phoneticPr fontId="1"/>
  </si>
  <si>
    <t>水陸両用モーター完備</t>
    <phoneticPr fontId="1"/>
  </si>
  <si>
    <t>[新生]【イベコン】横浜セーラーちゃん</t>
    <phoneticPr fontId="1"/>
  </si>
  <si>
    <t>夏から秋へ</t>
    <phoneticPr fontId="1"/>
  </si>
  <si>
    <t>[新生]筒姫</t>
    <phoneticPr fontId="1"/>
  </si>
  <si>
    <t>黒百合の呪い</t>
    <phoneticPr fontId="1"/>
  </si>
  <si>
    <t>[新生]黒百合伝説</t>
    <phoneticPr fontId="1"/>
  </si>
  <si>
    <t>最古の踊り子</t>
    <phoneticPr fontId="1"/>
  </si>
  <si>
    <t>[新生]天宇受賣命</t>
    <phoneticPr fontId="1"/>
  </si>
  <si>
    <t>枝変わりの映山紅</t>
    <phoneticPr fontId="1"/>
  </si>
  <si>
    <t>[新生]サツキちゃん</t>
    <phoneticPr fontId="1"/>
  </si>
  <si>
    <t>しんせいあまのうずめ</t>
    <phoneticPr fontId="1"/>
  </si>
  <si>
    <t>しんせいくろゆりでんせつ</t>
    <phoneticPr fontId="1"/>
  </si>
  <si>
    <t>しんせいさつきちゃん</t>
    <phoneticPr fontId="1"/>
  </si>
  <si>
    <t>しんせいいべこんよこはませーらーちゃん</t>
    <phoneticPr fontId="1"/>
  </si>
  <si>
    <t>しんせいつつひめ</t>
    <phoneticPr fontId="1"/>
  </si>
  <si>
    <t>しんせいばんどえんのおづぬ</t>
    <phoneticPr fontId="1"/>
  </si>
  <si>
    <t>27,24,24,22,21</t>
    <phoneticPr fontId="1"/>
  </si>
  <si>
    <t>処27+21+22 処24+24</t>
    <phoneticPr fontId="1"/>
  </si>
  <si>
    <t>しんせいあいどるぎゅうたんむすめ</t>
    <phoneticPr fontId="1"/>
  </si>
  <si>
    <t>25,23,22,22,19,18</t>
    <phoneticPr fontId="1"/>
  </si>
  <si>
    <t>しんせいわいしゃつあかいてるこ</t>
    <phoneticPr fontId="1"/>
  </si>
  <si>
    <t>だーくあいどるふぐるまようび</t>
    <phoneticPr fontId="1"/>
  </si>
  <si>
    <t>25,24,24,23,23</t>
    <phoneticPr fontId="1"/>
  </si>
  <si>
    <t>予25+竜+竜+絶大+23,18,19,22,22</t>
    <rPh sb="4" eb="5">
      <t>リュウ</t>
    </rPh>
    <rPh sb="6" eb="7">
      <t>リュウ</t>
    </rPh>
    <rPh sb="8" eb="10">
      <t>ゼツダイ</t>
    </rPh>
    <phoneticPr fontId="1"/>
  </si>
  <si>
    <t>[新生]【ヘビメタ】アカカナジャー</t>
    <phoneticPr fontId="1"/>
  </si>
  <si>
    <t>しんせいへびめたあかかなじゃー</t>
    <phoneticPr fontId="1"/>
  </si>
  <si>
    <t>燃えさかる嵐のヘドバン</t>
    <phoneticPr fontId="1"/>
  </si>
  <si>
    <t>タイプ伝承・偉人・神秘の攻85％DOWN　/　タイプ武人・姫の防30％UP</t>
  </si>
  <si>
    <t>タイプ伝承・武人・姫の防35％UP　/　タイプ偉人・姫・知性派の攻10％DOWN</t>
  </si>
  <si>
    <t>タイプ【偉人】の防30％UP　/　タイプ【妖怪】の防20％UP</t>
  </si>
  <si>
    <t>24+21+21+22+23,17,18</t>
    <phoneticPr fontId="1"/>
  </si>
  <si>
    <t>2021/11/07, 2022/04/21古豪戦傑ガチャ</t>
    <phoneticPr fontId="1"/>
  </si>
  <si>
    <t>2022/04/21古豪戦傑ガチャ</t>
    <rPh sb="10" eb="12">
      <t>コゴウ</t>
    </rPh>
    <rPh sb="12" eb="14">
      <t>センケツ</t>
    </rPh>
    <phoneticPr fontId="1"/>
  </si>
  <si>
    <t>2022/04/21古豪戦傑ガチャ</t>
    <phoneticPr fontId="1"/>
  </si>
  <si>
    <t>24+竜+竜+絶大+(23+竜+竜+竜+22),17,18,21,21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</si>
</sst>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1"/>
      <color theme="0"/>
      <name val="Yu Gothic"/>
      <family val="3"/>
      <charset val="128"/>
    </font>
    <font>
      <b/>
      <sz val="11"/>
      <color theme="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Microsoft YaHei"/>
      <family val="2"/>
      <charset val="134"/>
    </font>
    <font>
      <sz val="11"/>
      <color rgb="FF00B050"/>
      <name val="Yu Gothic"/>
      <family val="2"/>
      <scheme val="minor"/>
    </font>
    <font>
      <sz val="11"/>
      <color rgb="FFC0000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2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1AE7-C88D-493D-9021-5867C0FF0FD3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0.9140625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C2" s="1"/>
      <c r="E2" s="3"/>
      <c r="F2" s="3"/>
    </row>
    <row r="3" spans="1:15">
      <c r="A3" s="2">
        <v>53363</v>
      </c>
      <c r="B3" s="2" t="s">
        <v>726</v>
      </c>
      <c r="C3" s="1" t="s">
        <v>353</v>
      </c>
      <c r="D3" s="2" t="s">
        <v>151</v>
      </c>
      <c r="E3" s="6" t="s">
        <v>1082</v>
      </c>
      <c r="F3" s="3" t="str">
        <f>HYPERLINK("https://stat100.ameba.jp/tnk47/ratio20/illustrations/card/ill_53363_miyabiwagakkishokyokusaitenkatsu03.jpg", "■")</f>
        <v>■</v>
      </c>
      <c r="G3" s="2" t="s">
        <v>737</v>
      </c>
      <c r="H3" s="2" t="s">
        <v>393</v>
      </c>
      <c r="J3" s="2">
        <v>7</v>
      </c>
      <c r="K3" s="2">
        <v>28319</v>
      </c>
      <c r="L3" s="2">
        <v>25785</v>
      </c>
      <c r="M3" s="2" t="s">
        <v>354</v>
      </c>
      <c r="N3" s="2" t="s">
        <v>969</v>
      </c>
      <c r="O3" s="11"/>
    </row>
    <row r="4" spans="1:15">
      <c r="A4" s="2" t="s">
        <v>920</v>
      </c>
      <c r="B4" s="2" t="s">
        <v>726</v>
      </c>
      <c r="C4" s="2" t="s">
        <v>92</v>
      </c>
      <c r="D4" s="2" t="s">
        <v>90</v>
      </c>
      <c r="E4" s="6" t="s">
        <v>736</v>
      </c>
      <c r="F4" s="2" t="s">
        <v>920</v>
      </c>
      <c r="G4" s="2" t="s">
        <v>920</v>
      </c>
      <c r="J4" s="2">
        <v>7</v>
      </c>
      <c r="K4" s="2">
        <v>27446</v>
      </c>
      <c r="L4" s="2">
        <v>25559</v>
      </c>
      <c r="M4" s="2" t="s">
        <v>355</v>
      </c>
      <c r="N4" s="2" t="s">
        <v>970</v>
      </c>
      <c r="O4" s="11"/>
    </row>
    <row r="5" spans="1:15">
      <c r="A5" s="2" t="s">
        <v>920</v>
      </c>
      <c r="B5" s="2" t="s">
        <v>4</v>
      </c>
      <c r="C5" s="2" t="s">
        <v>95</v>
      </c>
      <c r="D5" s="2" t="s">
        <v>90</v>
      </c>
      <c r="E5" s="2" t="s">
        <v>358</v>
      </c>
      <c r="F5" s="2" t="s">
        <v>920</v>
      </c>
      <c r="G5" s="2" t="s">
        <v>920</v>
      </c>
      <c r="H5" s="2" t="s">
        <v>392</v>
      </c>
      <c r="J5" s="2">
        <v>7</v>
      </c>
      <c r="K5" s="2">
        <v>13300</v>
      </c>
      <c r="L5" s="2">
        <v>11970</v>
      </c>
      <c r="M5" s="2" t="s">
        <v>357</v>
      </c>
      <c r="N5" s="2" t="s">
        <v>112</v>
      </c>
      <c r="O5" s="11"/>
    </row>
    <row r="6" spans="1:15">
      <c r="A6" s="2" t="s">
        <v>920</v>
      </c>
      <c r="B6" s="2" t="s">
        <v>4</v>
      </c>
      <c r="C6" s="2" t="s">
        <v>88</v>
      </c>
      <c r="D6" s="2" t="s">
        <v>90</v>
      </c>
      <c r="E6" s="2" t="s">
        <v>359</v>
      </c>
      <c r="F6" s="2" t="s">
        <v>920</v>
      </c>
      <c r="G6" s="2" t="s">
        <v>920</v>
      </c>
      <c r="H6" s="2" t="s">
        <v>391</v>
      </c>
      <c r="J6" s="2">
        <v>7</v>
      </c>
      <c r="K6" s="2">
        <v>13300</v>
      </c>
      <c r="L6" s="2">
        <v>11970</v>
      </c>
      <c r="M6" s="2" t="s">
        <v>356</v>
      </c>
      <c r="N6" s="2" t="s">
        <v>112</v>
      </c>
      <c r="O6" s="11"/>
    </row>
    <row r="7" spans="1:15">
      <c r="A7" s="2">
        <v>53383</v>
      </c>
      <c r="B7" s="2" t="s">
        <v>4</v>
      </c>
      <c r="C7" s="2" t="s">
        <v>138</v>
      </c>
      <c r="D7" s="2" t="s">
        <v>151</v>
      </c>
      <c r="E7" s="6" t="s">
        <v>1083</v>
      </c>
      <c r="F7" s="3" t="str">
        <f>HYPERLINK("https://stat100.ameba.jp/tnk47/ratio20/illustrations/card/ill_53383_miyabiwagakkiisonokamitsuyuko03.jpg", "■")</f>
        <v>■</v>
      </c>
      <c r="G7" s="2" t="s">
        <v>738</v>
      </c>
      <c r="H7" s="2" t="s">
        <v>389</v>
      </c>
      <c r="J7" s="2">
        <v>7</v>
      </c>
      <c r="K7" s="2">
        <v>18818</v>
      </c>
      <c r="L7" s="2">
        <v>20748</v>
      </c>
      <c r="M7" s="2" t="s">
        <v>360</v>
      </c>
      <c r="N7" s="2" t="s">
        <v>971</v>
      </c>
      <c r="O7" s="11"/>
    </row>
    <row r="8" spans="1:15">
      <c r="A8" s="2" t="s">
        <v>920</v>
      </c>
      <c r="B8" s="2" t="s">
        <v>4</v>
      </c>
      <c r="C8" s="2" t="s">
        <v>103</v>
      </c>
      <c r="D8" s="2" t="s">
        <v>151</v>
      </c>
      <c r="E8" s="2" t="s">
        <v>363</v>
      </c>
      <c r="F8" s="2" t="s">
        <v>920</v>
      </c>
      <c r="G8" s="2" t="s">
        <v>920</v>
      </c>
      <c r="H8" s="2" t="s">
        <v>387</v>
      </c>
      <c r="J8" s="2">
        <v>9</v>
      </c>
      <c r="K8" s="2">
        <v>26676</v>
      </c>
      <c r="L8" s="2">
        <v>24195</v>
      </c>
      <c r="M8" s="2" t="s">
        <v>361</v>
      </c>
      <c r="N8" s="2" t="s">
        <v>362</v>
      </c>
      <c r="O8" s="11"/>
    </row>
    <row r="9" spans="1:15">
      <c r="A9" s="2" t="s">
        <v>920</v>
      </c>
      <c r="B9" s="2" t="s">
        <v>10</v>
      </c>
      <c r="C9" s="2" t="s">
        <v>12</v>
      </c>
      <c r="D9" s="2" t="s">
        <v>151</v>
      </c>
      <c r="E9" s="2" t="s">
        <v>364</v>
      </c>
      <c r="F9" s="2" t="s">
        <v>920</v>
      </c>
      <c r="G9" s="2" t="s">
        <v>920</v>
      </c>
      <c r="H9" s="2" t="s">
        <v>388</v>
      </c>
      <c r="J9" s="2">
        <v>11</v>
      </c>
      <c r="K9" s="2">
        <v>19016</v>
      </c>
      <c r="L9" s="2">
        <v>22871</v>
      </c>
      <c r="M9" s="2" t="s">
        <v>365</v>
      </c>
      <c r="N9" s="2" t="s">
        <v>366</v>
      </c>
      <c r="O9" s="11"/>
    </row>
    <row r="10" spans="1:15">
      <c r="A10" s="2" t="s">
        <v>920</v>
      </c>
      <c r="B10" s="2" t="s">
        <v>10</v>
      </c>
      <c r="C10" s="2" t="s">
        <v>6</v>
      </c>
      <c r="D10" s="2" t="s">
        <v>151</v>
      </c>
      <c r="E10" s="2" t="s">
        <v>367</v>
      </c>
      <c r="F10" s="2" t="s">
        <v>920</v>
      </c>
      <c r="G10" s="2" t="s">
        <v>920</v>
      </c>
      <c r="H10" s="2" t="s">
        <v>389</v>
      </c>
      <c r="J10" s="2">
        <v>7</v>
      </c>
      <c r="K10" s="2">
        <v>14554</v>
      </c>
      <c r="L10" s="2">
        <v>12101</v>
      </c>
      <c r="M10" s="2" t="s">
        <v>368</v>
      </c>
      <c r="N10" s="2" t="s">
        <v>369</v>
      </c>
      <c r="O10" s="11"/>
    </row>
    <row r="11" spans="1:15">
      <c r="A11" s="2" t="s">
        <v>920</v>
      </c>
      <c r="B11" s="2" t="s">
        <v>13</v>
      </c>
      <c r="C11" s="2" t="s">
        <v>370</v>
      </c>
      <c r="D11" s="2" t="s">
        <v>151</v>
      </c>
      <c r="E11" s="2" t="s">
        <v>371</v>
      </c>
      <c r="F11" s="2" t="s">
        <v>920</v>
      </c>
      <c r="G11" s="2" t="s">
        <v>920</v>
      </c>
      <c r="H11" s="2" t="s">
        <v>390</v>
      </c>
      <c r="J11" s="2">
        <v>5</v>
      </c>
      <c r="K11" s="2">
        <v>5286</v>
      </c>
      <c r="L11" s="2">
        <v>6294</v>
      </c>
      <c r="M11" s="2" t="s">
        <v>372</v>
      </c>
      <c r="N11" s="2" t="s">
        <v>342</v>
      </c>
      <c r="O11" s="11"/>
    </row>
    <row r="12" spans="1:15">
      <c r="A12" s="2" t="s">
        <v>920</v>
      </c>
      <c r="B12" s="2" t="s">
        <v>13</v>
      </c>
      <c r="C12" s="2" t="s">
        <v>373</v>
      </c>
      <c r="D12" s="2" t="s">
        <v>93</v>
      </c>
      <c r="E12" s="2" t="s">
        <v>374</v>
      </c>
      <c r="F12" s="2" t="s">
        <v>920</v>
      </c>
      <c r="G12" s="2" t="s">
        <v>920</v>
      </c>
      <c r="H12" s="2" t="s">
        <v>386</v>
      </c>
      <c r="J12" s="2">
        <v>9</v>
      </c>
      <c r="K12" s="2">
        <v>11329</v>
      </c>
      <c r="L12" s="2">
        <v>9514</v>
      </c>
      <c r="M12" s="2" t="s">
        <v>375</v>
      </c>
      <c r="N12" s="2" t="s">
        <v>63</v>
      </c>
      <c r="O12" s="11"/>
    </row>
    <row r="13" spans="1:15">
      <c r="A13" s="2" t="s">
        <v>920</v>
      </c>
      <c r="B13" s="2" t="s">
        <v>13</v>
      </c>
      <c r="C13" s="2" t="s">
        <v>376</v>
      </c>
      <c r="D13" s="2" t="s">
        <v>7</v>
      </c>
      <c r="E13" s="2" t="s">
        <v>378</v>
      </c>
      <c r="F13" s="2" t="s">
        <v>920</v>
      </c>
      <c r="G13" s="2" t="s">
        <v>920</v>
      </c>
      <c r="H13" s="2" t="s">
        <v>386</v>
      </c>
      <c r="J13" s="2">
        <v>10</v>
      </c>
      <c r="K13" s="2">
        <v>9514</v>
      </c>
      <c r="L13" s="2">
        <v>11329</v>
      </c>
      <c r="M13" s="2" t="s">
        <v>377</v>
      </c>
      <c r="N13" s="2" t="s">
        <v>14</v>
      </c>
      <c r="O13" s="11"/>
    </row>
    <row r="14" spans="1:15">
      <c r="A14" s="2" t="s">
        <v>920</v>
      </c>
      <c r="B14" s="2" t="s">
        <v>13</v>
      </c>
      <c r="C14" s="2" t="s">
        <v>379</v>
      </c>
      <c r="D14" s="2" t="s">
        <v>53</v>
      </c>
      <c r="E14" s="2" t="s">
        <v>380</v>
      </c>
      <c r="F14" s="2" t="s">
        <v>920</v>
      </c>
      <c r="G14" s="2" t="s">
        <v>920</v>
      </c>
      <c r="H14" s="2" t="s">
        <v>386</v>
      </c>
      <c r="J14" s="2">
        <v>9</v>
      </c>
      <c r="K14" s="2">
        <v>11329</v>
      </c>
      <c r="L14" s="2">
        <v>9514</v>
      </c>
      <c r="M14" s="2" t="s">
        <v>381</v>
      </c>
      <c r="N14" s="2" t="s">
        <v>382</v>
      </c>
      <c r="O14" s="11"/>
    </row>
    <row r="15" spans="1:15">
      <c r="A15" s="2" t="s">
        <v>920</v>
      </c>
      <c r="B15" s="2" t="s">
        <v>13</v>
      </c>
      <c r="C15" s="2" t="s">
        <v>384</v>
      </c>
      <c r="D15" s="2" t="s">
        <v>154</v>
      </c>
      <c r="E15" s="2" t="s">
        <v>383</v>
      </c>
      <c r="F15" s="2" t="s">
        <v>920</v>
      </c>
      <c r="G15" s="2" t="s">
        <v>920</v>
      </c>
      <c r="H15" s="2" t="s">
        <v>386</v>
      </c>
      <c r="J15" s="2">
        <v>9</v>
      </c>
      <c r="K15" s="2">
        <v>9514</v>
      </c>
      <c r="L15" s="2">
        <v>11329</v>
      </c>
      <c r="M15" s="2" t="s">
        <v>385</v>
      </c>
      <c r="N15" s="2" t="s">
        <v>342</v>
      </c>
      <c r="O15" s="11"/>
    </row>
    <row r="16" spans="1:15">
      <c r="F16" s="3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390F2-D606-4C61-BFFD-53105C678AC3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75223</v>
      </c>
      <c r="B3" s="2" t="s">
        <v>726</v>
      </c>
      <c r="C3" s="2" t="s">
        <v>88</v>
      </c>
      <c r="D3" s="2" t="s">
        <v>90</v>
      </c>
      <c r="E3" s="2" t="s">
        <v>89</v>
      </c>
      <c r="F3" s="3" t="str">
        <f>HYPERLINK("https://stat100.ameba.jp/tnk47/ratio20/illustrations/card/ill_75223_kumanojinjanokamimai03.jpg", "■")</f>
        <v>■</v>
      </c>
      <c r="G3" s="2" t="s">
        <v>227</v>
      </c>
      <c r="H3" s="2" t="s">
        <v>124</v>
      </c>
      <c r="I3" s="2" t="s">
        <v>1589</v>
      </c>
      <c r="J3" s="2">
        <v>12</v>
      </c>
      <c r="K3" s="2">
        <v>50828</v>
      </c>
      <c r="L3" s="2">
        <v>54764</v>
      </c>
      <c r="M3" s="2" t="s">
        <v>91</v>
      </c>
      <c r="N3" s="2" t="s">
        <v>1016</v>
      </c>
      <c r="O3" s="2" t="s">
        <v>1587</v>
      </c>
    </row>
    <row r="4" spans="1:15">
      <c r="A4" s="2">
        <v>75323</v>
      </c>
      <c r="B4" s="2" t="s">
        <v>726</v>
      </c>
      <c r="C4" s="2" t="s">
        <v>92</v>
      </c>
      <c r="D4" s="2" t="s">
        <v>93</v>
      </c>
      <c r="E4" s="7" t="s">
        <v>1140</v>
      </c>
      <c r="F4" s="3" t="str">
        <f>HYPERLINK("https://stat100.ameba.jp/tnk47/ratio20/illustrations/card/ill_75323_tenkuropawasupottonihonnorakuen03.jpg", "■")</f>
        <v>■</v>
      </c>
      <c r="G4" s="2" t="s">
        <v>589</v>
      </c>
      <c r="I4" s="2" t="s">
        <v>592</v>
      </c>
      <c r="J4" s="2">
        <v>9</v>
      </c>
      <c r="K4" s="2">
        <v>38913</v>
      </c>
      <c r="L4" s="2">
        <v>36412</v>
      </c>
      <c r="M4" s="2" t="s">
        <v>94</v>
      </c>
      <c r="N4" s="2" t="s">
        <v>1017</v>
      </c>
      <c r="O4" s="11"/>
    </row>
    <row r="5" spans="1:15">
      <c r="A5" s="2">
        <v>75301</v>
      </c>
      <c r="B5" s="2" t="s">
        <v>4</v>
      </c>
      <c r="C5" s="2" t="s">
        <v>95</v>
      </c>
      <c r="D5" s="2" t="s">
        <v>93</v>
      </c>
      <c r="E5" s="7" t="s">
        <v>1141</v>
      </c>
      <c r="F5" s="3" t="str">
        <f>HYPERLINK("https://stat100.ameba.jp/tnk47/ratio20/illustrations/card/ill_75301_tenkuropawasupottohigashinoshimajima01.jpg", "■")</f>
        <v>■</v>
      </c>
      <c r="G5" s="2" t="s">
        <v>590</v>
      </c>
      <c r="H5" s="2" t="s">
        <v>246</v>
      </c>
      <c r="J5" s="2">
        <v>9</v>
      </c>
      <c r="K5" s="2">
        <v>17100</v>
      </c>
      <c r="L5" s="2">
        <v>15390</v>
      </c>
      <c r="M5" s="2" t="s">
        <v>96</v>
      </c>
      <c r="N5" s="2" t="s">
        <v>1018</v>
      </c>
      <c r="O5" s="11"/>
    </row>
    <row r="6" spans="1:15">
      <c r="A6" s="2">
        <v>75311</v>
      </c>
      <c r="B6" s="2" t="s">
        <v>4</v>
      </c>
      <c r="C6" s="2" t="s">
        <v>88</v>
      </c>
      <c r="D6" s="2" t="s">
        <v>93</v>
      </c>
      <c r="E6" s="7" t="s">
        <v>1142</v>
      </c>
      <c r="F6" s="3" t="str">
        <f>HYPERLINK("https://stat100.ameba.jp/tnk47/ratio20/illustrations/card/ill_75311_tenkuropawasupottonishinoshimajima01.jpg", "■")</f>
        <v>■</v>
      </c>
      <c r="G6" s="2" t="s">
        <v>591</v>
      </c>
      <c r="H6" s="2" t="s">
        <v>245</v>
      </c>
      <c r="J6" s="2">
        <v>9</v>
      </c>
      <c r="K6" s="2">
        <v>17100</v>
      </c>
      <c r="L6" s="2">
        <v>15390</v>
      </c>
      <c r="M6" s="2" t="s">
        <v>97</v>
      </c>
      <c r="N6" s="2" t="s">
        <v>1018</v>
      </c>
      <c r="O6" s="11"/>
    </row>
    <row r="7" spans="1:15">
      <c r="A7" s="2">
        <v>75233</v>
      </c>
      <c r="B7" s="2" t="s">
        <v>4</v>
      </c>
      <c r="C7" s="2" t="s">
        <v>98</v>
      </c>
      <c r="D7" s="2" t="s">
        <v>90</v>
      </c>
      <c r="E7" s="2" t="s">
        <v>99</v>
      </c>
      <c r="F7" s="3" t="str">
        <f>HYPERLINK("https://stat100.ameba.jp/tnk47/ratio20/illustrations/card/ill_75233_ushinorikumomai03.jpg", "■")</f>
        <v>■</v>
      </c>
      <c r="G7" s="2" t="s">
        <v>226</v>
      </c>
      <c r="H7" s="2" t="s">
        <v>125</v>
      </c>
      <c r="I7" s="2" t="s">
        <v>593</v>
      </c>
      <c r="J7" s="2">
        <v>9</v>
      </c>
      <c r="K7" s="2">
        <v>26676</v>
      </c>
      <c r="L7" s="2">
        <v>24195</v>
      </c>
      <c r="M7" s="2" t="s">
        <v>100</v>
      </c>
      <c r="N7" s="2" t="s">
        <v>1019</v>
      </c>
      <c r="O7" s="11"/>
    </row>
    <row r="8" spans="1:15">
      <c r="A8" s="2">
        <v>75243</v>
      </c>
      <c r="B8" s="2" t="s">
        <v>4</v>
      </c>
      <c r="C8" s="2" t="s">
        <v>12</v>
      </c>
      <c r="D8" s="2" t="s">
        <v>90</v>
      </c>
      <c r="E8" s="2" t="s">
        <v>101</v>
      </c>
      <c r="F8" s="3" t="str">
        <f>HYPERLINK("https://stat100.ameba.jp/tnk47/ratio20/illustrations/card/ill_75243_funehikikagura03.jpg", "■")</f>
        <v>■</v>
      </c>
      <c r="G8" s="2" t="s">
        <v>225</v>
      </c>
      <c r="H8" s="2" t="s">
        <v>35</v>
      </c>
      <c r="I8" s="2" t="s">
        <v>616</v>
      </c>
      <c r="J8" s="2">
        <v>9</v>
      </c>
      <c r="K8" s="2">
        <v>24195</v>
      </c>
      <c r="L8" s="2">
        <v>26676</v>
      </c>
      <c r="M8" s="2" t="s">
        <v>102</v>
      </c>
      <c r="N8" s="2" t="s">
        <v>1020</v>
      </c>
      <c r="O8" s="11" t="s">
        <v>1537</v>
      </c>
    </row>
    <row r="9" spans="1:15">
      <c r="A9" s="2">
        <v>75253</v>
      </c>
      <c r="B9" s="2" t="s">
        <v>10</v>
      </c>
      <c r="C9" s="2" t="s">
        <v>103</v>
      </c>
      <c r="D9" s="2" t="s">
        <v>90</v>
      </c>
      <c r="E9" s="2" t="s">
        <v>104</v>
      </c>
      <c r="F9" s="3" t="str">
        <f>HYPERLINK("https://stat100.ameba.jp/tnk47/ratio20/illustrations/card/ill_75253_amanotoribune03.jpg", "■")</f>
        <v>■</v>
      </c>
      <c r="G9" s="2" t="s">
        <v>228</v>
      </c>
      <c r="H9" s="2" t="s">
        <v>19</v>
      </c>
      <c r="I9" s="2" t="s">
        <v>83</v>
      </c>
      <c r="J9" s="2">
        <v>11</v>
      </c>
      <c r="K9" s="2">
        <v>22871</v>
      </c>
      <c r="L9" s="2">
        <v>19016</v>
      </c>
      <c r="M9" s="2" t="s">
        <v>105</v>
      </c>
      <c r="N9" s="2" t="s">
        <v>1021</v>
      </c>
      <c r="O9" s="11"/>
    </row>
    <row r="10" spans="1:15">
      <c r="A10" s="2">
        <v>75263</v>
      </c>
      <c r="B10" s="2" t="s">
        <v>10</v>
      </c>
      <c r="C10" s="2" t="s">
        <v>6</v>
      </c>
      <c r="D10" s="2" t="s">
        <v>90</v>
      </c>
      <c r="E10" s="2" t="s">
        <v>106</v>
      </c>
      <c r="F10" s="3" t="str">
        <f>HYPERLINK("https://stat100.ameba.jp/tnk47/ratio20/illustrations/card/ill_75263_jurokudaninotsumayanagi03.jpg", "■")</f>
        <v>■</v>
      </c>
      <c r="G10" s="2" t="s">
        <v>229</v>
      </c>
      <c r="H10" s="2" t="s">
        <v>64</v>
      </c>
      <c r="I10" s="2" t="s">
        <v>126</v>
      </c>
      <c r="J10" s="2">
        <v>7</v>
      </c>
      <c r="K10" s="2">
        <v>12101</v>
      </c>
      <c r="L10" s="2">
        <v>14554</v>
      </c>
      <c r="M10" s="2" t="s">
        <v>107</v>
      </c>
      <c r="N10" s="2" t="s">
        <v>108</v>
      </c>
      <c r="O10" s="11"/>
    </row>
    <row r="11" spans="1:15">
      <c r="A11" s="2">
        <v>75273</v>
      </c>
      <c r="B11" s="2" t="s">
        <v>13</v>
      </c>
      <c r="C11" s="2" t="s">
        <v>109</v>
      </c>
      <c r="D11" s="2" t="s">
        <v>90</v>
      </c>
      <c r="E11" s="2" t="s">
        <v>110</v>
      </c>
      <c r="F11" s="3" t="str">
        <f>HYPERLINK("https://stat100.ameba.jp/tnk47/ratio20/illustrations/card/ill_75273_ushinokokumairiwaraningyo03.jpg", "■")</f>
        <v>■</v>
      </c>
      <c r="G11" s="2" t="s">
        <v>230</v>
      </c>
      <c r="H11" s="2" t="s">
        <v>122</v>
      </c>
      <c r="I11" s="2" t="s">
        <v>121</v>
      </c>
      <c r="J11" s="2">
        <v>5</v>
      </c>
      <c r="K11" s="2">
        <v>6294</v>
      </c>
      <c r="L11" s="2">
        <v>5286</v>
      </c>
      <c r="M11" s="2" t="s">
        <v>111</v>
      </c>
      <c r="N11" s="2" t="s">
        <v>112</v>
      </c>
      <c r="O11" s="11"/>
    </row>
    <row r="12" spans="1:15">
      <c r="A12" s="2">
        <v>75283</v>
      </c>
      <c r="B12" s="2" t="s">
        <v>13</v>
      </c>
      <c r="C12" s="2" t="s">
        <v>9</v>
      </c>
      <c r="D12" s="2" t="s">
        <v>114</v>
      </c>
      <c r="E12" s="2" t="s">
        <v>113</v>
      </c>
      <c r="F12" s="3" t="str">
        <f>HYPERLINK("https://stat100.ameba.jp/tnk47/ratio20/illustrations/card/ill_75283_utsunomiyatadatsuna03.jpg", "■")</f>
        <v>■</v>
      </c>
      <c r="G12" s="2" t="s">
        <v>231</v>
      </c>
      <c r="H12" s="2" t="s">
        <v>122</v>
      </c>
      <c r="I12" s="2" t="s">
        <v>123</v>
      </c>
      <c r="J12" s="2">
        <v>10</v>
      </c>
      <c r="K12" s="2">
        <v>10572</v>
      </c>
      <c r="L12" s="2">
        <v>12588</v>
      </c>
      <c r="M12" s="2" t="s">
        <v>115</v>
      </c>
      <c r="N12" s="2" t="s">
        <v>59</v>
      </c>
      <c r="O12" s="11"/>
    </row>
    <row r="13" spans="1:15">
      <c r="A13" s="2">
        <v>75293</v>
      </c>
      <c r="B13" s="2" t="s">
        <v>13</v>
      </c>
      <c r="C13" s="2" t="s">
        <v>116</v>
      </c>
      <c r="D13" s="2" t="s">
        <v>118</v>
      </c>
      <c r="E13" s="2" t="s">
        <v>117</v>
      </c>
      <c r="F13" s="3" t="str">
        <f>HYPERLINK("https://stat100.ameba.jp/tnk47/ratio20/illustrations/card/ill_75293_kendosakamototome03.jpg", "■")</f>
        <v>■</v>
      </c>
      <c r="G13" s="2" t="s">
        <v>232</v>
      </c>
      <c r="H13" s="2" t="s">
        <v>122</v>
      </c>
      <c r="I13" s="2" t="s">
        <v>123</v>
      </c>
      <c r="J13" s="2">
        <v>10</v>
      </c>
      <c r="K13" s="2">
        <v>12588</v>
      </c>
      <c r="L13" s="2">
        <v>10572</v>
      </c>
      <c r="M13" s="2" t="s">
        <v>119</v>
      </c>
      <c r="N13" s="2" t="s">
        <v>120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098C-B4B2-4AD8-80BC-382E6D64B7FC}">
  <dimension ref="A1:O18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76133</v>
      </c>
      <c r="B3" s="2" t="s">
        <v>726</v>
      </c>
      <c r="C3" s="2" t="s">
        <v>95</v>
      </c>
      <c r="D3" s="2" t="s">
        <v>151</v>
      </c>
      <c r="E3" s="2" t="s">
        <v>424</v>
      </c>
      <c r="F3" s="3" t="str">
        <f>HYPERLINK("https://stat100.ameba.jp/tnk47/ratio20/illustrations/card/ill_76133_shinobinishinadaisuke03.jpg", "■")</f>
        <v>■</v>
      </c>
      <c r="G3" s="2" t="s">
        <v>626</v>
      </c>
      <c r="H3" s="2" t="s">
        <v>488</v>
      </c>
      <c r="I3" s="2" t="s">
        <v>2214</v>
      </c>
      <c r="J3" s="2">
        <v>12</v>
      </c>
      <c r="K3" s="2">
        <v>45261</v>
      </c>
      <c r="L3" s="2">
        <v>48659</v>
      </c>
      <c r="M3" s="2" t="s">
        <v>425</v>
      </c>
      <c r="N3" s="2" t="s">
        <v>1022</v>
      </c>
      <c r="O3" s="11" t="s">
        <v>1522</v>
      </c>
    </row>
    <row r="4" spans="1:15">
      <c r="A4" s="2">
        <v>76233</v>
      </c>
      <c r="B4" s="2" t="s">
        <v>726</v>
      </c>
      <c r="C4" s="2" t="s">
        <v>92</v>
      </c>
      <c r="D4" s="2" t="s">
        <v>90</v>
      </c>
      <c r="E4" s="7" t="s">
        <v>1143</v>
      </c>
      <c r="F4" s="3" t="str">
        <f>HYPERLINK("https://stat100.ameba.jp/tnk47/ratio20/illustrations/card/ill_76233_sonobuguotenitenkanoippin03.jpg", "■")</f>
        <v>■</v>
      </c>
      <c r="G4" s="2" t="s">
        <v>632</v>
      </c>
      <c r="I4" s="2" t="s">
        <v>633</v>
      </c>
      <c r="J4" s="2">
        <v>9</v>
      </c>
      <c r="K4" s="2">
        <v>41775</v>
      </c>
      <c r="L4" s="2">
        <v>39035</v>
      </c>
      <c r="M4" s="2" t="s">
        <v>426</v>
      </c>
      <c r="N4" s="2" t="s">
        <v>1023</v>
      </c>
      <c r="O4" s="11"/>
    </row>
    <row r="5" spans="1:15">
      <c r="A5" s="2">
        <v>76211</v>
      </c>
      <c r="B5" s="2" t="s">
        <v>4</v>
      </c>
      <c r="C5" s="2" t="s">
        <v>95</v>
      </c>
      <c r="D5" s="2" t="s">
        <v>90</v>
      </c>
      <c r="E5" s="7" t="s">
        <v>1144</v>
      </c>
      <c r="F5" s="3" t="str">
        <f>HYPERLINK("https://stat100.ameba.jp/tnk47/ratio20/illustrations/card/ill_76211_sonobuguotenihigashinokata01.jpg", "■")</f>
        <v>■</v>
      </c>
      <c r="G5" s="2" t="s">
        <v>631</v>
      </c>
      <c r="H5" s="2" t="s">
        <v>489</v>
      </c>
      <c r="J5" s="2">
        <v>9</v>
      </c>
      <c r="K5" s="2">
        <v>17100</v>
      </c>
      <c r="L5" s="2">
        <v>15390</v>
      </c>
      <c r="M5" s="2" t="s">
        <v>427</v>
      </c>
      <c r="N5" s="2" t="s">
        <v>1024</v>
      </c>
      <c r="O5" s="11"/>
    </row>
    <row r="6" spans="1:15">
      <c r="A6" s="2">
        <v>76221</v>
      </c>
      <c r="B6" s="2" t="s">
        <v>4</v>
      </c>
      <c r="C6" s="2" t="s">
        <v>88</v>
      </c>
      <c r="D6" s="2" t="s">
        <v>90</v>
      </c>
      <c r="E6" s="7" t="s">
        <v>1145</v>
      </c>
      <c r="F6" s="3" t="str">
        <f>HYPERLINK("https://stat100.ameba.jp/tnk47/ratio20/illustrations/card/ill_76221_sonobuguoteninishinokata01.jpg", "■")</f>
        <v>■</v>
      </c>
      <c r="G6" s="2" t="s">
        <v>630</v>
      </c>
      <c r="H6" s="2" t="s">
        <v>490</v>
      </c>
      <c r="J6" s="2">
        <v>9</v>
      </c>
      <c r="K6" s="2">
        <v>17100</v>
      </c>
      <c r="L6" s="2">
        <v>15390</v>
      </c>
      <c r="M6" s="2" t="s">
        <v>428</v>
      </c>
      <c r="N6" s="2" t="s">
        <v>1025</v>
      </c>
      <c r="O6" s="11"/>
    </row>
    <row r="7" spans="1:15">
      <c r="A7" s="2">
        <v>76143</v>
      </c>
      <c r="B7" s="2" t="s">
        <v>4</v>
      </c>
      <c r="C7" s="2" t="s">
        <v>6</v>
      </c>
      <c r="D7" s="2" t="s">
        <v>151</v>
      </c>
      <c r="E7" s="2" t="s">
        <v>429</v>
      </c>
      <c r="F7" s="3" t="str">
        <f>HYPERLINK("https://stat100.ameba.jp/tnk47/ratio20/illustrations/card/ill_76143_shinobuikenogyokuran03.jpg", "■")</f>
        <v>■</v>
      </c>
      <c r="G7" s="2" t="s">
        <v>625</v>
      </c>
      <c r="H7" s="2" t="s">
        <v>487</v>
      </c>
      <c r="I7" s="2" t="s">
        <v>624</v>
      </c>
      <c r="J7" s="2">
        <v>9</v>
      </c>
      <c r="K7" s="2">
        <v>26676</v>
      </c>
      <c r="L7" s="2">
        <v>24195</v>
      </c>
      <c r="M7" s="2" t="s">
        <v>430</v>
      </c>
      <c r="N7" s="2" t="s">
        <v>1026</v>
      </c>
      <c r="O7" s="11" t="s">
        <v>1523</v>
      </c>
    </row>
    <row r="8" spans="1:15">
      <c r="A8" s="2">
        <v>76153</v>
      </c>
      <c r="B8" s="2" t="s">
        <v>4</v>
      </c>
      <c r="C8" s="2" t="s">
        <v>138</v>
      </c>
      <c r="D8" s="2" t="s">
        <v>151</v>
      </c>
      <c r="E8" s="2" t="s">
        <v>431</v>
      </c>
      <c r="F8" s="3" t="str">
        <f>HYPERLINK("https://stat100.ameba.jp/tnk47/ratio20/illustrations/card/ill_76153_shinobiarakidareijo03.jpg", "■")</f>
        <v>■</v>
      </c>
      <c r="G8" s="2" t="s">
        <v>622</v>
      </c>
      <c r="H8" s="2" t="s">
        <v>35</v>
      </c>
      <c r="I8" s="2" t="s">
        <v>623</v>
      </c>
      <c r="J8" s="2">
        <v>9</v>
      </c>
      <c r="K8" s="2">
        <v>24195</v>
      </c>
      <c r="L8" s="2">
        <v>26676</v>
      </c>
      <c r="M8" s="2" t="s">
        <v>432</v>
      </c>
      <c r="N8" s="2" t="s">
        <v>1027</v>
      </c>
      <c r="O8" s="11"/>
    </row>
    <row r="9" spans="1:15">
      <c r="A9" s="2">
        <v>76163</v>
      </c>
      <c r="B9" s="2" t="s">
        <v>10</v>
      </c>
      <c r="C9" s="2" t="s">
        <v>103</v>
      </c>
      <c r="D9" s="2" t="s">
        <v>151</v>
      </c>
      <c r="E9" s="2" t="s">
        <v>433</v>
      </c>
      <c r="F9" s="3" t="str">
        <f>HYPERLINK("https://stat100.ameba.jp/tnk47/ratio20/illustrations/card/ill_76163_katonkatodanzo03.jpg", "■")</f>
        <v>■</v>
      </c>
      <c r="G9" s="2" t="s">
        <v>486</v>
      </c>
      <c r="H9" s="2" t="s">
        <v>19</v>
      </c>
      <c r="I9" s="2" t="s">
        <v>83</v>
      </c>
      <c r="J9" s="2">
        <v>11</v>
      </c>
      <c r="K9" s="2">
        <v>22871</v>
      </c>
      <c r="L9" s="2">
        <v>19016</v>
      </c>
      <c r="M9" s="2" t="s">
        <v>434</v>
      </c>
      <c r="N9" s="2" t="s">
        <v>369</v>
      </c>
      <c r="O9" s="11"/>
    </row>
    <row r="10" spans="1:15">
      <c r="A10" s="2">
        <v>44143</v>
      </c>
      <c r="B10" s="2" t="s">
        <v>10</v>
      </c>
      <c r="C10" s="2" t="s">
        <v>8</v>
      </c>
      <c r="D10" s="2" t="s">
        <v>151</v>
      </c>
      <c r="E10" s="2" t="s">
        <v>435</v>
      </c>
      <c r="F10" s="3" t="str">
        <f>HYPERLINK("https://stat100.ameba.jp/tnk47/ratio20/illustrations/card/ill_44143_shinobihottakichiko03.jpg", "■")</f>
        <v>■</v>
      </c>
      <c r="G10" s="2" t="s">
        <v>485</v>
      </c>
      <c r="H10" s="2" t="s">
        <v>64</v>
      </c>
      <c r="I10" s="2" t="s">
        <v>126</v>
      </c>
      <c r="J10" s="2">
        <v>7</v>
      </c>
      <c r="K10" s="2">
        <v>12101</v>
      </c>
      <c r="L10" s="2">
        <v>14554</v>
      </c>
      <c r="M10" s="2" t="s">
        <v>436</v>
      </c>
      <c r="N10" s="2" t="s">
        <v>437</v>
      </c>
      <c r="O10" s="11"/>
    </row>
    <row r="11" spans="1:15">
      <c r="A11" s="2">
        <v>76183</v>
      </c>
      <c r="B11" s="2" t="s">
        <v>13</v>
      </c>
      <c r="C11" s="2" t="s">
        <v>379</v>
      </c>
      <c r="D11" s="2" t="s">
        <v>151</v>
      </c>
      <c r="E11" s="2" t="s">
        <v>438</v>
      </c>
      <c r="F11" s="3" t="str">
        <f>HYPERLINK("https://stat100.ameba.jp/tnk47/ratio20/illustrations/card/ill_76183_gurabaa03.jpg", "■")</f>
        <v>■</v>
      </c>
      <c r="G11" s="2" t="s">
        <v>484</v>
      </c>
      <c r="H11" s="2" t="s">
        <v>122</v>
      </c>
      <c r="I11" s="2" t="s">
        <v>121</v>
      </c>
      <c r="J11" s="2">
        <v>5</v>
      </c>
      <c r="K11" s="2">
        <v>6294</v>
      </c>
      <c r="L11" s="2">
        <v>5286</v>
      </c>
      <c r="M11" s="2" t="s">
        <v>439</v>
      </c>
      <c r="N11" s="2" t="s">
        <v>310</v>
      </c>
      <c r="O11" s="11"/>
    </row>
    <row r="12" spans="1:15">
      <c r="A12" s="2">
        <v>76193</v>
      </c>
      <c r="B12" s="2" t="s">
        <v>13</v>
      </c>
      <c r="C12" s="2" t="s">
        <v>146</v>
      </c>
      <c r="D12" s="2" t="s">
        <v>61</v>
      </c>
      <c r="E12" s="2" t="s">
        <v>441</v>
      </c>
      <c r="F12" s="3" t="str">
        <f>HYPERLINK("https://stat100.ameba.jp/tnk47/ratio20/illustrations/card/ill_76193_tamamushinuri03.jpg", "■")</f>
        <v>■</v>
      </c>
      <c r="G12" s="2" t="s">
        <v>483</v>
      </c>
      <c r="H12" s="2" t="s">
        <v>122</v>
      </c>
      <c r="I12" s="2" t="s">
        <v>123</v>
      </c>
      <c r="J12" s="2">
        <v>10</v>
      </c>
      <c r="K12" s="2">
        <v>10572</v>
      </c>
      <c r="L12" s="2">
        <v>12588</v>
      </c>
      <c r="M12" s="2" t="s">
        <v>442</v>
      </c>
      <c r="N12" s="2" t="s">
        <v>443</v>
      </c>
      <c r="O12" s="11"/>
    </row>
    <row r="13" spans="1:15">
      <c r="A13" s="2">
        <v>76203</v>
      </c>
      <c r="B13" s="2" t="s">
        <v>13</v>
      </c>
      <c r="C13" s="2" t="s">
        <v>445</v>
      </c>
      <c r="D13" s="2" t="s">
        <v>440</v>
      </c>
      <c r="E13" s="2" t="s">
        <v>444</v>
      </c>
      <c r="F13" s="3" t="str">
        <f>HYPERLINK("https://stat100.ameba.jp/tnk47/ratio20/illustrations/card/ill_76203_iinaotora03.jpg", "■")</f>
        <v>■</v>
      </c>
      <c r="G13" s="2" t="s">
        <v>482</v>
      </c>
      <c r="H13" s="2" t="s">
        <v>122</v>
      </c>
      <c r="I13" s="2" t="s">
        <v>123</v>
      </c>
      <c r="J13" s="2">
        <v>10</v>
      </c>
      <c r="K13" s="2">
        <v>12588</v>
      </c>
      <c r="L13" s="2">
        <v>10572</v>
      </c>
      <c r="M13" s="2" t="s">
        <v>446</v>
      </c>
      <c r="N13" s="2" t="s">
        <v>447</v>
      </c>
      <c r="O13" s="11"/>
    </row>
    <row r="14" spans="1:15">
      <c r="F14" s="3"/>
    </row>
    <row r="15" spans="1:15">
      <c r="A15" s="2" t="s">
        <v>1310</v>
      </c>
      <c r="F15" s="3"/>
    </row>
    <row r="16" spans="1:15">
      <c r="A16" s="2" t="s">
        <v>1309</v>
      </c>
      <c r="F16" s="3"/>
    </row>
    <row r="17" spans="1:14">
      <c r="A17" s="2" t="s">
        <v>1311</v>
      </c>
      <c r="F17" s="3"/>
    </row>
    <row r="18" spans="1:14">
      <c r="A18" s="2">
        <v>60843</v>
      </c>
      <c r="B18" s="2" t="s">
        <v>10</v>
      </c>
      <c r="C18" s="2" t="s">
        <v>8</v>
      </c>
      <c r="D18" s="2" t="s">
        <v>151</v>
      </c>
      <c r="E18" s="2" t="s">
        <v>1306</v>
      </c>
      <c r="F18" s="3" t="str">
        <f>HYPERLINK("https://stat100.ameba.jp/tnk47/ratio20/illustrations/card/ill_60843_shinseishinobihottakichiko03.jpg", "■")</f>
        <v>■</v>
      </c>
      <c r="G18" s="2" t="s">
        <v>1307</v>
      </c>
      <c r="J18" s="2">
        <v>7</v>
      </c>
      <c r="K18" s="2">
        <v>12101</v>
      </c>
      <c r="L18" s="2">
        <v>14554</v>
      </c>
      <c r="M18" s="2" t="s">
        <v>436</v>
      </c>
      <c r="N18" s="2" t="s">
        <v>1308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1915-008B-4AC0-9267-3C4B1AC02E1C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77003</v>
      </c>
      <c r="B3" s="2" t="s">
        <v>726</v>
      </c>
      <c r="C3" s="2" t="s">
        <v>92</v>
      </c>
      <c r="D3" s="2" t="s">
        <v>7</v>
      </c>
      <c r="E3" s="2" t="s">
        <v>398</v>
      </c>
      <c r="F3" s="3" t="str">
        <f>HYPERLINK("https://stat100.ameba.jp/tnk47/ratio20/illustrations/card/ill_77003_seikimatsunurarihyon03.jpg", "■")</f>
        <v>■</v>
      </c>
      <c r="G3" s="2" t="s">
        <v>452</v>
      </c>
      <c r="H3" s="2" t="s">
        <v>449</v>
      </c>
      <c r="I3" s="2" t="s">
        <v>453</v>
      </c>
      <c r="J3" s="2">
        <v>12</v>
      </c>
      <c r="K3" s="2">
        <v>52319</v>
      </c>
      <c r="L3" s="2">
        <v>48655</v>
      </c>
      <c r="M3" s="2" t="s">
        <v>399</v>
      </c>
      <c r="N3" s="2" t="s">
        <v>1010</v>
      </c>
      <c r="O3" s="11" t="s">
        <v>1524</v>
      </c>
    </row>
    <row r="4" spans="1:15">
      <c r="A4" s="2">
        <v>77103</v>
      </c>
      <c r="B4" s="2" t="s">
        <v>726</v>
      </c>
      <c r="C4" s="2" t="s">
        <v>92</v>
      </c>
      <c r="D4" s="2" t="s">
        <v>154</v>
      </c>
      <c r="E4" s="7" t="s">
        <v>1146</v>
      </c>
      <c r="F4" s="3" t="str">
        <f>HYPERLINK("https://stat100.ameba.jp/tnk47/ratio20/illustrations/card/ill_77103_tenkurofuearizumiwakunoyoseitachi03.jpg", "■")</f>
        <v>■</v>
      </c>
      <c r="G4" s="2" t="s">
        <v>658</v>
      </c>
      <c r="I4" s="2" t="s">
        <v>657</v>
      </c>
      <c r="J4" s="2">
        <v>9</v>
      </c>
      <c r="K4" s="2">
        <v>37349</v>
      </c>
      <c r="L4" s="2">
        <v>34948</v>
      </c>
      <c r="M4" s="2" t="s">
        <v>400</v>
      </c>
      <c r="N4" s="2" t="s">
        <v>1028</v>
      </c>
      <c r="O4" s="11"/>
    </row>
    <row r="5" spans="1:15">
      <c r="A5" s="2">
        <v>77081</v>
      </c>
      <c r="B5" s="2" t="s">
        <v>4</v>
      </c>
      <c r="C5" s="2" t="s">
        <v>95</v>
      </c>
      <c r="D5" s="2" t="s">
        <v>154</v>
      </c>
      <c r="E5" s="7" t="s">
        <v>1147</v>
      </c>
      <c r="F5" s="3" t="str">
        <f>HYPERLINK("https://stat100.ameba.jp/tnk47/ratio20/illustrations/card/ill_77081_tenkurofuearizuhigashinoyoseitachi01.jpg", "■")</f>
        <v>■</v>
      </c>
      <c r="G5" s="2" t="s">
        <v>656</v>
      </c>
      <c r="H5" s="2" t="s">
        <v>450</v>
      </c>
      <c r="J5" s="2">
        <v>9</v>
      </c>
      <c r="K5" s="2">
        <v>17100</v>
      </c>
      <c r="L5" s="2">
        <v>15390</v>
      </c>
      <c r="M5" s="2" t="s">
        <v>401</v>
      </c>
      <c r="N5" s="2" t="s">
        <v>1029</v>
      </c>
      <c r="O5" s="11"/>
    </row>
    <row r="6" spans="1:15">
      <c r="A6" s="2">
        <v>77091</v>
      </c>
      <c r="B6" s="2" t="s">
        <v>4</v>
      </c>
      <c r="C6" s="2" t="s">
        <v>88</v>
      </c>
      <c r="D6" s="2" t="s">
        <v>154</v>
      </c>
      <c r="E6" s="7" t="s">
        <v>1148</v>
      </c>
      <c r="F6" s="3" t="str">
        <f>HYPERLINK("https://stat100.ameba.jp/tnk47/ratio20/illustrations/card/ill_77091_tenkurofuearizunishinoyoseitachi01.jpg", "■")</f>
        <v>■</v>
      </c>
      <c r="G6" s="2" t="s">
        <v>655</v>
      </c>
      <c r="H6" s="2" t="s">
        <v>245</v>
      </c>
      <c r="J6" s="2">
        <v>9</v>
      </c>
      <c r="K6" s="2">
        <v>17100</v>
      </c>
      <c r="L6" s="2">
        <v>15390</v>
      </c>
      <c r="M6" s="2" t="s">
        <v>404</v>
      </c>
      <c r="N6" s="2" t="s">
        <v>1029</v>
      </c>
      <c r="O6" s="11"/>
    </row>
    <row r="7" spans="1:15">
      <c r="A7" s="2">
        <v>77013</v>
      </c>
      <c r="B7" s="2" t="s">
        <v>4</v>
      </c>
      <c r="C7" s="2" t="s">
        <v>98</v>
      </c>
      <c r="D7" s="2" t="s">
        <v>7</v>
      </c>
      <c r="E7" s="2" t="s">
        <v>402</v>
      </c>
      <c r="F7" s="3" t="str">
        <f>HYPERLINK("https://stat100.ameba.jp/tnk47/ratio20/illustrations/card/ill_77013_jakotsumusume03.jpg", "■")</f>
        <v>■</v>
      </c>
      <c r="G7" s="2" t="s">
        <v>481</v>
      </c>
      <c r="H7" s="2" t="s">
        <v>448</v>
      </c>
      <c r="I7" s="2" t="s">
        <v>455</v>
      </c>
      <c r="J7" s="2">
        <v>9</v>
      </c>
      <c r="K7" s="2">
        <v>24195</v>
      </c>
      <c r="L7" s="2">
        <v>26676</v>
      </c>
      <c r="M7" s="2" t="s">
        <v>403</v>
      </c>
      <c r="N7" s="2" t="s">
        <v>1013</v>
      </c>
      <c r="O7" s="11"/>
    </row>
    <row r="8" spans="1:15">
      <c r="A8" s="2">
        <v>77023</v>
      </c>
      <c r="B8" s="2" t="s">
        <v>4</v>
      </c>
      <c r="C8" s="2" t="s">
        <v>12</v>
      </c>
      <c r="D8" s="2" t="s">
        <v>7</v>
      </c>
      <c r="E8" s="2" t="s">
        <v>405</v>
      </c>
      <c r="F8" s="3" t="str">
        <f>HYPERLINK("https://stat100.ameba.jp/tnk47/ratio20/illustrations/card/ill_77023_meianshiranui03.jpg", "■")</f>
        <v>■</v>
      </c>
      <c r="G8" s="2" t="s">
        <v>422</v>
      </c>
      <c r="H8" s="2" t="s">
        <v>35</v>
      </c>
      <c r="I8" s="2" t="s">
        <v>454</v>
      </c>
      <c r="J8" s="2">
        <v>9</v>
      </c>
      <c r="K8" s="2">
        <v>26676</v>
      </c>
      <c r="L8" s="2">
        <v>24195</v>
      </c>
      <c r="M8" s="2" t="s">
        <v>406</v>
      </c>
      <c r="N8" s="2" t="s">
        <v>1014</v>
      </c>
      <c r="O8" s="11" t="s">
        <v>1537</v>
      </c>
    </row>
    <row r="9" spans="1:15">
      <c r="A9" s="2">
        <v>77043</v>
      </c>
      <c r="B9" s="2" t="s">
        <v>10</v>
      </c>
      <c r="C9" s="2" t="s">
        <v>8</v>
      </c>
      <c r="D9" s="2" t="s">
        <v>7</v>
      </c>
      <c r="E9" s="2" t="s">
        <v>407</v>
      </c>
      <c r="F9" s="3" t="str">
        <f>HYPERLINK("https://stat100.ameba.jp/tnk47/ratio20/illustrations/card/ill_77043_kyodaiyokaigashadokuro03.jpg", "■")</f>
        <v>■</v>
      </c>
      <c r="G9" s="2" t="s">
        <v>419</v>
      </c>
      <c r="H9" s="2" t="s">
        <v>19</v>
      </c>
      <c r="I9" s="2" t="s">
        <v>83</v>
      </c>
      <c r="J9" s="2">
        <v>11</v>
      </c>
      <c r="K9" s="2">
        <v>19016</v>
      </c>
      <c r="L9" s="2">
        <v>22871</v>
      </c>
      <c r="M9" s="2" t="s">
        <v>408</v>
      </c>
      <c r="N9" s="2" t="s">
        <v>1030</v>
      </c>
      <c r="O9" s="11"/>
    </row>
    <row r="10" spans="1:15">
      <c r="A10" s="2">
        <v>77033</v>
      </c>
      <c r="B10" s="2" t="s">
        <v>10</v>
      </c>
      <c r="C10" s="2" t="s">
        <v>103</v>
      </c>
      <c r="D10" s="2" t="s">
        <v>7</v>
      </c>
      <c r="E10" s="2" t="s">
        <v>409</v>
      </c>
      <c r="F10" s="3" t="str">
        <f>HYPERLINK("https://stat100.ameba.jp/tnk47/ratio20/illustrations/card/ill_77033_hebimetakurobouzu03.jpg", "■")</f>
        <v>■</v>
      </c>
      <c r="G10" s="2" t="s">
        <v>451</v>
      </c>
      <c r="H10" s="2" t="s">
        <v>64</v>
      </c>
      <c r="I10" s="2" t="s">
        <v>126</v>
      </c>
      <c r="J10" s="2">
        <v>7</v>
      </c>
      <c r="K10" s="2">
        <v>14554</v>
      </c>
      <c r="L10" s="2">
        <v>12101</v>
      </c>
      <c r="M10" s="2" t="s">
        <v>410</v>
      </c>
      <c r="N10" s="2" t="s">
        <v>141</v>
      </c>
      <c r="O10" s="11"/>
    </row>
    <row r="11" spans="1:15">
      <c r="A11" s="2">
        <v>77053</v>
      </c>
      <c r="B11" s="2" t="s">
        <v>13</v>
      </c>
      <c r="C11" s="2" t="s">
        <v>116</v>
      </c>
      <c r="D11" s="2" t="s">
        <v>7</v>
      </c>
      <c r="E11" s="2" t="s">
        <v>411</v>
      </c>
      <c r="F11" s="3" t="str">
        <f>HYPERLINK("https://stat100.ameba.jp/tnk47/ratio20/illustrations/card/ill_77053_muchi03.jpg", "■")</f>
        <v>■</v>
      </c>
      <c r="G11" s="2" t="s">
        <v>423</v>
      </c>
      <c r="H11" s="2" t="s">
        <v>122</v>
      </c>
      <c r="I11" s="2" t="s">
        <v>121</v>
      </c>
      <c r="J11" s="2">
        <v>5</v>
      </c>
      <c r="K11" s="2">
        <v>6294</v>
      </c>
      <c r="L11" s="2">
        <v>5286</v>
      </c>
      <c r="M11" s="2" t="s">
        <v>412</v>
      </c>
      <c r="N11" s="2" t="s">
        <v>120</v>
      </c>
      <c r="O11" s="11"/>
    </row>
    <row r="12" spans="1:15">
      <c r="A12" s="2">
        <v>77063</v>
      </c>
      <c r="B12" s="2" t="s">
        <v>13</v>
      </c>
      <c r="C12" s="2" t="s">
        <v>15</v>
      </c>
      <c r="D12" s="2" t="s">
        <v>114</v>
      </c>
      <c r="E12" s="2" t="s">
        <v>413</v>
      </c>
      <c r="F12" s="3" t="str">
        <f>HYPERLINK("https://stat100.ameba.jp/tnk47/ratio20/illustrations/card/ill_77063_tsugarutamenobu03.jpg", "■")</f>
        <v>■</v>
      </c>
      <c r="G12" s="2" t="s">
        <v>420</v>
      </c>
      <c r="H12" s="2" t="s">
        <v>122</v>
      </c>
      <c r="I12" s="2" t="s">
        <v>123</v>
      </c>
      <c r="J12" s="2">
        <v>10</v>
      </c>
      <c r="K12" s="2">
        <v>10572</v>
      </c>
      <c r="L12" s="2">
        <v>12588</v>
      </c>
      <c r="M12" s="2" t="s">
        <v>414</v>
      </c>
      <c r="N12" s="2" t="s">
        <v>59</v>
      </c>
      <c r="O12" s="11"/>
    </row>
    <row r="13" spans="1:15">
      <c r="A13" s="2">
        <v>77073</v>
      </c>
      <c r="B13" s="2" t="s">
        <v>13</v>
      </c>
      <c r="C13" s="2" t="s">
        <v>416</v>
      </c>
      <c r="D13" s="2" t="s">
        <v>90</v>
      </c>
      <c r="E13" s="2" t="s">
        <v>415</v>
      </c>
      <c r="F13" s="3" t="str">
        <f>HYPERLINK("https://stat100.ameba.jp/tnk47/ratio20/illustrations/card/ill_77073_yasugibushi03.jpg", "■")</f>
        <v>■</v>
      </c>
      <c r="G13" s="2" t="s">
        <v>421</v>
      </c>
      <c r="H13" s="2" t="s">
        <v>122</v>
      </c>
      <c r="I13" s="2" t="s">
        <v>123</v>
      </c>
      <c r="J13" s="2">
        <v>10</v>
      </c>
      <c r="K13" s="2">
        <v>10572</v>
      </c>
      <c r="L13" s="2">
        <v>12588</v>
      </c>
      <c r="M13" s="2" t="s">
        <v>417</v>
      </c>
      <c r="N13" s="2" t="s">
        <v>418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6791-102D-4CA1-9F34-1D186C391CFC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77793</v>
      </c>
      <c r="B3" s="2" t="s">
        <v>726</v>
      </c>
      <c r="C3" s="2" t="s">
        <v>92</v>
      </c>
      <c r="D3" s="2" t="s">
        <v>114</v>
      </c>
      <c r="E3" s="2" t="s">
        <v>491</v>
      </c>
      <c r="F3" s="3" t="str">
        <f>HYPERLINK("https://stat100.ameba.jp/tnk47/ratio20/illustrations/card/ill_77793_bonenkaiiinaomasa03.jpg", "■")</f>
        <v>■</v>
      </c>
      <c r="G3" s="2" t="s">
        <v>699</v>
      </c>
      <c r="H3" s="2" t="s">
        <v>519</v>
      </c>
      <c r="I3" s="2" t="s">
        <v>1305</v>
      </c>
      <c r="J3" s="2">
        <v>12</v>
      </c>
      <c r="K3" s="2">
        <v>74652</v>
      </c>
      <c r="L3" s="2">
        <v>69408</v>
      </c>
      <c r="M3" s="2" t="s">
        <v>492</v>
      </c>
      <c r="N3" s="2" t="s">
        <v>1031</v>
      </c>
      <c r="O3" s="11" t="s">
        <v>1525</v>
      </c>
    </row>
    <row r="4" spans="1:15">
      <c r="A4" s="2">
        <v>77893</v>
      </c>
      <c r="B4" s="2" t="s">
        <v>726</v>
      </c>
      <c r="C4" s="2" t="s">
        <v>92</v>
      </c>
      <c r="D4" s="2" t="s">
        <v>53</v>
      </c>
      <c r="E4" s="7" t="s">
        <v>1149</v>
      </c>
      <c r="F4" s="3" t="str">
        <f>HYPERLINK("https://stat100.ameba.jp/tnk47/ratio20/illustrations/card/ill_77893_tokusenfurutsumoriawasedaishugo03.jpg", "■")</f>
        <v>■</v>
      </c>
      <c r="G4" s="2" t="s">
        <v>698</v>
      </c>
      <c r="I4" s="2" t="s">
        <v>633</v>
      </c>
      <c r="J4" s="2">
        <v>9</v>
      </c>
      <c r="K4" s="2">
        <v>43237</v>
      </c>
      <c r="L4" s="2">
        <v>40466</v>
      </c>
      <c r="M4" s="2" t="s">
        <v>493</v>
      </c>
      <c r="N4" s="2" t="s">
        <v>1032</v>
      </c>
      <c r="O4" s="11"/>
    </row>
    <row r="5" spans="1:15">
      <c r="A5" s="2">
        <v>77871</v>
      </c>
      <c r="B5" s="2" t="s">
        <v>4</v>
      </c>
      <c r="C5" s="2" t="s">
        <v>95</v>
      </c>
      <c r="D5" s="2" t="s">
        <v>53</v>
      </c>
      <c r="E5" s="7" t="s">
        <v>1150</v>
      </c>
      <c r="F5" s="3" t="str">
        <f>HYPERLINK("https://stat100.ameba.jp/tnk47/ratio20/illustrations/card/ill_77871_tokusenfurutsumoriawasehigashinofurutsu01.jpg", "■")</f>
        <v>■</v>
      </c>
      <c r="G5" s="2" t="s">
        <v>700</v>
      </c>
      <c r="H5" s="2" t="s">
        <v>248</v>
      </c>
      <c r="J5" s="2">
        <v>9</v>
      </c>
      <c r="K5" s="2">
        <v>17100</v>
      </c>
      <c r="L5" s="2">
        <v>15390</v>
      </c>
      <c r="M5" s="2" t="s">
        <v>494</v>
      </c>
      <c r="N5" s="2" t="s">
        <v>1033</v>
      </c>
      <c r="O5" s="11"/>
    </row>
    <row r="6" spans="1:15">
      <c r="A6" s="2">
        <v>77881</v>
      </c>
      <c r="B6" s="2" t="s">
        <v>4</v>
      </c>
      <c r="C6" s="2" t="s">
        <v>88</v>
      </c>
      <c r="D6" s="2" t="s">
        <v>53</v>
      </c>
      <c r="E6" s="7" t="s">
        <v>1151</v>
      </c>
      <c r="F6" s="3" t="str">
        <f>HYPERLINK("https://stat100.ameba.jp/tnk47/ratio20/illustrations/card/ill_77881_tokusenfurutsumoriawasenishinofurutsu01.jpg", "■")</f>
        <v>■</v>
      </c>
      <c r="G6" s="2" t="s">
        <v>701</v>
      </c>
      <c r="H6" s="2" t="s">
        <v>490</v>
      </c>
      <c r="J6" s="2">
        <v>9</v>
      </c>
      <c r="K6" s="2">
        <v>17100</v>
      </c>
      <c r="L6" s="2">
        <v>15390</v>
      </c>
      <c r="M6" s="2" t="s">
        <v>495</v>
      </c>
      <c r="N6" s="2" t="s">
        <v>1034</v>
      </c>
      <c r="O6" s="11"/>
    </row>
    <row r="7" spans="1:15">
      <c r="A7" s="2">
        <v>77803</v>
      </c>
      <c r="B7" s="2" t="s">
        <v>4</v>
      </c>
      <c r="C7" s="2" t="s">
        <v>98</v>
      </c>
      <c r="D7" s="2" t="s">
        <v>114</v>
      </c>
      <c r="E7" s="2" t="s">
        <v>496</v>
      </c>
      <c r="F7" s="3" t="str">
        <f>HYPERLINK("https://stat100.ameba.jp/tnk47/ratio20/illustrations/card/ill_77803_hananodayunakanotakeko03.jpg", "■")</f>
        <v>■</v>
      </c>
      <c r="G7" s="2" t="s">
        <v>628</v>
      </c>
      <c r="H7" s="2" t="s">
        <v>518</v>
      </c>
      <c r="I7" s="2" t="s">
        <v>629</v>
      </c>
      <c r="J7" s="2">
        <v>9</v>
      </c>
      <c r="K7" s="2">
        <v>24195</v>
      </c>
      <c r="L7" s="2">
        <v>26676</v>
      </c>
      <c r="M7" s="2" t="s">
        <v>497</v>
      </c>
      <c r="N7" s="2" t="s">
        <v>996</v>
      </c>
      <c r="O7" s="11"/>
    </row>
    <row r="8" spans="1:15">
      <c r="A8" s="2">
        <v>77813</v>
      </c>
      <c r="B8" s="2" t="s">
        <v>4</v>
      </c>
      <c r="C8" s="2" t="s">
        <v>8</v>
      </c>
      <c r="D8" s="2" t="s">
        <v>114</v>
      </c>
      <c r="E8" s="2" t="s">
        <v>498</v>
      </c>
      <c r="F8" s="3" t="str">
        <f>HYPERLINK("https://stat100.ameba.jp/tnk47/ratio20/illustrations/card/ill_77813_tsukiyamajinjaouchiyoshitaka03.jpg", "■")</f>
        <v>■</v>
      </c>
      <c r="G8" s="2" t="s">
        <v>627</v>
      </c>
      <c r="H8" s="2" t="s">
        <v>250</v>
      </c>
      <c r="I8" s="2" t="s">
        <v>458</v>
      </c>
      <c r="J8" s="2">
        <v>9</v>
      </c>
      <c r="K8" s="2">
        <v>26676</v>
      </c>
      <c r="L8" s="2">
        <v>24195</v>
      </c>
      <c r="M8" s="2" t="s">
        <v>499</v>
      </c>
      <c r="N8" s="2" t="s">
        <v>1035</v>
      </c>
      <c r="O8" s="11" t="s">
        <v>1526</v>
      </c>
    </row>
    <row r="9" spans="1:15">
      <c r="A9" s="2">
        <v>77833</v>
      </c>
      <c r="B9" s="2" t="s">
        <v>10</v>
      </c>
      <c r="C9" s="2" t="s">
        <v>12</v>
      </c>
      <c r="D9" s="2" t="s">
        <v>40</v>
      </c>
      <c r="E9" s="2" t="s">
        <v>479</v>
      </c>
      <c r="F9" s="3" t="str">
        <f>HYPERLINK("https://stat100.ameba.jp/tnk47/ratio20/illustrations/card/ill_77833_barekirinotoshiaki03.jpg", "■")</f>
        <v>■</v>
      </c>
      <c r="G9" s="2" t="s">
        <v>480</v>
      </c>
      <c r="H9" s="2" t="s">
        <v>19</v>
      </c>
      <c r="I9" s="2" t="s">
        <v>83</v>
      </c>
      <c r="J9" s="2">
        <v>11</v>
      </c>
      <c r="K9" s="2">
        <v>22871</v>
      </c>
      <c r="L9" s="2">
        <v>19016</v>
      </c>
      <c r="M9" s="2" t="s">
        <v>500</v>
      </c>
      <c r="N9" s="2" t="s">
        <v>1036</v>
      </c>
      <c r="O9" s="11"/>
    </row>
    <row r="10" spans="1:15">
      <c r="A10" s="2">
        <v>77823</v>
      </c>
      <c r="B10" s="2" t="s">
        <v>10</v>
      </c>
      <c r="C10" s="2" t="s">
        <v>103</v>
      </c>
      <c r="D10" s="2" t="s">
        <v>40</v>
      </c>
      <c r="E10" s="2" t="s">
        <v>501</v>
      </c>
      <c r="F10" s="3" t="str">
        <f>HYPERLINK("https://stat100.ameba.jp/tnk47/ratio20/illustrations/card/ill_77823_kenseikamiizuminobutsuna03.jpg", "■")</f>
        <v>■</v>
      </c>
      <c r="G10" s="2" t="s">
        <v>517</v>
      </c>
      <c r="H10" s="2" t="s">
        <v>515</v>
      </c>
      <c r="I10" s="2" t="s">
        <v>516</v>
      </c>
      <c r="J10" s="2">
        <v>7</v>
      </c>
      <c r="K10" s="2">
        <v>12101</v>
      </c>
      <c r="L10" s="2">
        <v>14554</v>
      </c>
      <c r="M10" s="2" t="s">
        <v>502</v>
      </c>
      <c r="N10" s="2" t="s">
        <v>210</v>
      </c>
      <c r="O10" s="11"/>
    </row>
    <row r="11" spans="1:15">
      <c r="A11" s="2">
        <v>77843</v>
      </c>
      <c r="B11" s="2" t="s">
        <v>13</v>
      </c>
      <c r="C11" s="2" t="s">
        <v>6</v>
      </c>
      <c r="D11" s="2" t="s">
        <v>40</v>
      </c>
      <c r="E11" s="2" t="s">
        <v>503</v>
      </c>
      <c r="F11" s="3" t="str">
        <f>HYPERLINK("https://stat100.ameba.jp/tnk47/ratio20/illustrations/card/ill_77843_magaranaotaka03.jpg", "■")</f>
        <v>■</v>
      </c>
      <c r="G11" s="2" t="s">
        <v>514</v>
      </c>
      <c r="H11" s="2" t="s">
        <v>122</v>
      </c>
      <c r="I11" s="2" t="s">
        <v>121</v>
      </c>
      <c r="J11" s="2">
        <v>5</v>
      </c>
      <c r="K11" s="2">
        <v>6294</v>
      </c>
      <c r="L11" s="2">
        <v>5286</v>
      </c>
      <c r="M11" s="2" t="s">
        <v>504</v>
      </c>
      <c r="N11" s="2" t="s">
        <v>217</v>
      </c>
      <c r="O11" s="11"/>
    </row>
    <row r="12" spans="1:15">
      <c r="A12" s="2">
        <v>77853</v>
      </c>
      <c r="B12" s="2" t="s">
        <v>13</v>
      </c>
      <c r="C12" s="2" t="s">
        <v>506</v>
      </c>
      <c r="D12" s="2" t="s">
        <v>93</v>
      </c>
      <c r="E12" s="2" t="s">
        <v>505</v>
      </c>
      <c r="F12" s="3" t="str">
        <f>HYPERLINK("https://stat100.ameba.jp/tnk47/ratio20/illustrations/card/ill_77853_konotorichan03.jpg", "■")</f>
        <v>■</v>
      </c>
      <c r="G12" s="2" t="s">
        <v>513</v>
      </c>
      <c r="H12" s="2" t="s">
        <v>122</v>
      </c>
      <c r="I12" s="2" t="s">
        <v>123</v>
      </c>
      <c r="J12" s="2">
        <v>10</v>
      </c>
      <c r="K12" s="2">
        <v>10572</v>
      </c>
      <c r="L12" s="2">
        <v>12588</v>
      </c>
      <c r="M12" s="2" t="s">
        <v>507</v>
      </c>
      <c r="N12" s="2" t="s">
        <v>443</v>
      </c>
      <c r="O12" s="11"/>
    </row>
    <row r="13" spans="1:15">
      <c r="A13" s="2">
        <v>77863</v>
      </c>
      <c r="B13" s="2" t="s">
        <v>13</v>
      </c>
      <c r="C13" s="2" t="s">
        <v>509</v>
      </c>
      <c r="D13" s="2" t="s">
        <v>53</v>
      </c>
      <c r="E13" s="2" t="s">
        <v>508</v>
      </c>
      <c r="F13" s="3" t="str">
        <f>HYPERLINK("https://stat100.ameba.jp/tnk47/ratio20/illustrations/card/ill_77863_moriokareimenchan03.jpg", "■")</f>
        <v>■</v>
      </c>
      <c r="G13" s="2" t="s">
        <v>512</v>
      </c>
      <c r="H13" s="2" t="s">
        <v>122</v>
      </c>
      <c r="I13" s="2" t="s">
        <v>123</v>
      </c>
      <c r="J13" s="2">
        <v>10</v>
      </c>
      <c r="K13" s="2">
        <v>12588</v>
      </c>
      <c r="L13" s="2">
        <v>10572</v>
      </c>
      <c r="M13" s="2" t="s">
        <v>510</v>
      </c>
      <c r="N13" s="2" t="s">
        <v>511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0735F-763F-4768-AA56-88410CA2FF66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78523</v>
      </c>
      <c r="B3" s="2" t="s">
        <v>726</v>
      </c>
      <c r="C3" s="2" t="s">
        <v>2</v>
      </c>
      <c r="D3" s="2" t="s">
        <v>154</v>
      </c>
      <c r="E3" s="7" t="s">
        <v>1259</v>
      </c>
      <c r="F3" s="3" t="str">
        <f>HYPERLINK("https://stat100.ameba.jp/tnk47/ratio20/illustrations/card/ill_78523_shichifukujinwakaukanomenomikoto03.jpg", "■")</f>
        <v>■</v>
      </c>
      <c r="G3" s="2" t="s">
        <v>548</v>
      </c>
      <c r="H3" s="2" t="s">
        <v>545</v>
      </c>
      <c r="I3" s="2" t="s">
        <v>547</v>
      </c>
      <c r="J3" s="2">
        <v>12</v>
      </c>
      <c r="K3" s="2">
        <v>48947</v>
      </c>
      <c r="L3" s="2">
        <v>45505</v>
      </c>
      <c r="M3" s="2" t="s">
        <v>528</v>
      </c>
      <c r="N3" s="2" t="s">
        <v>1037</v>
      </c>
      <c r="O3" s="11" t="s">
        <v>1527</v>
      </c>
    </row>
    <row r="4" spans="1:15">
      <c r="A4" s="2">
        <v>78605</v>
      </c>
      <c r="B4" s="2" t="s">
        <v>726</v>
      </c>
      <c r="C4" s="2" t="s">
        <v>527</v>
      </c>
      <c r="D4" s="2" t="s">
        <v>114</v>
      </c>
      <c r="E4" s="7" t="s">
        <v>1260</v>
      </c>
      <c r="F4" s="3" t="str">
        <f>HYPERLINK("https://stat100.ameba.jp/tnk47/ratio20/illustrations/card/ill_78605_shishioreonidasu05.jpg", "■")</f>
        <v>■</v>
      </c>
      <c r="G4" s="2" t="s">
        <v>565</v>
      </c>
      <c r="H4" s="2" t="s">
        <v>544</v>
      </c>
      <c r="I4" s="2" t="s">
        <v>566</v>
      </c>
      <c r="J4" s="2">
        <v>9</v>
      </c>
      <c r="K4" s="2">
        <v>40630</v>
      </c>
      <c r="L4" s="2">
        <v>56115</v>
      </c>
      <c r="M4" s="2" t="s">
        <v>529</v>
      </c>
      <c r="N4" s="2" t="s">
        <v>1038</v>
      </c>
      <c r="O4" s="11"/>
    </row>
    <row r="5" spans="1:15">
      <c r="A5" s="2">
        <v>78533</v>
      </c>
      <c r="B5" s="2" t="s">
        <v>4</v>
      </c>
      <c r="C5" s="2" t="s">
        <v>103</v>
      </c>
      <c r="D5" s="2" t="s">
        <v>154</v>
      </c>
      <c r="E5" s="7" t="s">
        <v>1261</v>
      </c>
      <c r="F5" s="3" t="str">
        <f>HYPERLINK("https://stat100.ameba.jp/tnk47/ratio20/illustrations/card/ill_78533_arikahikonomikoto03.jpg", "■")</f>
        <v>■</v>
      </c>
      <c r="G5" s="2" t="s">
        <v>580</v>
      </c>
      <c r="H5" s="2" t="s">
        <v>546</v>
      </c>
      <c r="I5" s="2" t="s">
        <v>582</v>
      </c>
      <c r="J5" s="2">
        <v>9</v>
      </c>
      <c r="K5" s="2">
        <v>26676</v>
      </c>
      <c r="L5" s="2">
        <v>24195</v>
      </c>
      <c r="M5" s="2" t="s">
        <v>530</v>
      </c>
      <c r="N5" s="2" t="s">
        <v>1007</v>
      </c>
      <c r="O5" s="11"/>
    </row>
    <row r="6" spans="1:15">
      <c r="A6" s="2">
        <v>78543</v>
      </c>
      <c r="B6" s="2" t="s">
        <v>4</v>
      </c>
      <c r="C6" s="2" t="s">
        <v>8</v>
      </c>
      <c r="D6" s="2" t="s">
        <v>154</v>
      </c>
      <c r="E6" s="7" t="s">
        <v>1262</v>
      </c>
      <c r="F6" s="3" t="str">
        <f>HYPERLINK("https://stat100.ameba.jp/tnk47/ratio20/illustrations/card/ill_78543_suseribime03.jpg", "■")</f>
        <v>■</v>
      </c>
      <c r="G6" s="2" t="s">
        <v>579</v>
      </c>
      <c r="H6" s="2" t="s">
        <v>35</v>
      </c>
      <c r="I6" s="2" t="s">
        <v>36</v>
      </c>
      <c r="J6" s="2">
        <v>9</v>
      </c>
      <c r="K6" s="2">
        <v>24195</v>
      </c>
      <c r="L6" s="2">
        <v>26676</v>
      </c>
      <c r="M6" s="2" t="s">
        <v>531</v>
      </c>
      <c r="N6" s="2" t="s">
        <v>1027</v>
      </c>
      <c r="O6" s="11"/>
    </row>
    <row r="7" spans="1:15">
      <c r="A7" s="2">
        <v>78563</v>
      </c>
      <c r="B7" s="2" t="s">
        <v>10</v>
      </c>
      <c r="C7" s="2" t="s">
        <v>138</v>
      </c>
      <c r="D7" s="2" t="s">
        <v>154</v>
      </c>
      <c r="E7" s="7" t="s">
        <v>1263</v>
      </c>
      <c r="F7" s="3" t="str">
        <f>HYPERLINK("https://stat100.ameba.jp/tnk47/ratio20/illustrations/card/ill_78563_bimegamimihikarihime03.jpg", "■")</f>
        <v>■</v>
      </c>
      <c r="G7" s="2" t="s">
        <v>543</v>
      </c>
      <c r="H7" s="2" t="s">
        <v>19</v>
      </c>
      <c r="I7" s="2" t="s">
        <v>83</v>
      </c>
      <c r="J7" s="2">
        <v>11</v>
      </c>
      <c r="K7" s="2">
        <v>19016</v>
      </c>
      <c r="L7" s="2">
        <v>22871</v>
      </c>
      <c r="M7" s="2" t="s">
        <v>532</v>
      </c>
      <c r="N7" s="2" t="s">
        <v>1039</v>
      </c>
      <c r="O7" s="11"/>
    </row>
    <row r="8" spans="1:15">
      <c r="A8" s="2">
        <v>78553</v>
      </c>
      <c r="B8" s="2" t="s">
        <v>10</v>
      </c>
      <c r="C8" s="2" t="s">
        <v>6</v>
      </c>
      <c r="D8" s="2" t="s">
        <v>154</v>
      </c>
      <c r="E8" s="7" t="s">
        <v>1264</v>
      </c>
      <c r="F8" s="3" t="str">
        <f>HYPERLINK("https://stat100.ameba.jp/tnk47/ratio20/illustrations/card/ill_78553_iwanagahime03.jpg", "■")</f>
        <v>■</v>
      </c>
      <c r="G8" s="2" t="s">
        <v>567</v>
      </c>
      <c r="H8" s="2" t="s">
        <v>64</v>
      </c>
      <c r="I8" s="2" t="s">
        <v>126</v>
      </c>
      <c r="J8" s="2">
        <v>7</v>
      </c>
      <c r="K8" s="2">
        <v>14554</v>
      </c>
      <c r="L8" s="2">
        <v>12101</v>
      </c>
      <c r="M8" s="2" t="s">
        <v>533</v>
      </c>
      <c r="N8" s="2" t="s">
        <v>534</v>
      </c>
      <c r="O8" s="11"/>
    </row>
    <row r="9" spans="1:15">
      <c r="A9" s="2">
        <v>78573</v>
      </c>
      <c r="B9" s="2" t="s">
        <v>13</v>
      </c>
      <c r="C9" s="2" t="s">
        <v>509</v>
      </c>
      <c r="D9" s="2" t="s">
        <v>154</v>
      </c>
      <c r="E9" s="7" t="s">
        <v>1265</v>
      </c>
      <c r="F9" s="3" t="str">
        <f>HYPERLINK("https://stat100.ameba.jp/tnk47/ratio20/illustrations/card/ill_78573_oshirasama03.jpg", "■")</f>
        <v>■</v>
      </c>
      <c r="G9" s="2" t="s">
        <v>540</v>
      </c>
      <c r="H9" s="2" t="s">
        <v>122</v>
      </c>
      <c r="I9" s="2" t="s">
        <v>121</v>
      </c>
      <c r="J9" s="2">
        <v>5</v>
      </c>
      <c r="K9" s="2">
        <v>6294</v>
      </c>
      <c r="L9" s="2">
        <v>5286</v>
      </c>
      <c r="M9" s="2" t="s">
        <v>535</v>
      </c>
      <c r="N9" s="2" t="s">
        <v>310</v>
      </c>
      <c r="O9" s="11"/>
    </row>
    <row r="10" spans="1:15">
      <c r="A10" s="2">
        <v>78583</v>
      </c>
      <c r="B10" s="2" t="s">
        <v>13</v>
      </c>
      <c r="C10" s="2" t="s">
        <v>536</v>
      </c>
      <c r="D10" s="2" t="s">
        <v>7</v>
      </c>
      <c r="E10" s="7" t="s">
        <v>1266</v>
      </c>
      <c r="F10" s="3" t="str">
        <f>HYPERLINK("https://stat100.ameba.jp/tnk47/ratio20/illustrations/card/ill_78583_umigozen03.jpg", "■")</f>
        <v>■</v>
      </c>
      <c r="G10" s="2" t="s">
        <v>541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537</v>
      </c>
      <c r="N10" s="2" t="s">
        <v>145</v>
      </c>
      <c r="O10" s="11"/>
    </row>
    <row r="11" spans="1:15">
      <c r="A11" s="2">
        <v>78593</v>
      </c>
      <c r="B11" s="2" t="s">
        <v>13</v>
      </c>
      <c r="C11" s="2" t="s">
        <v>189</v>
      </c>
      <c r="D11" s="2" t="s">
        <v>114</v>
      </c>
      <c r="E11" s="7" t="s">
        <v>1267</v>
      </c>
      <c r="F11" s="3" t="str">
        <f>HYPERLINK("https://stat100.ameba.jp/tnk47/ratio20/illustrations/card/ill_78593_sangawa%20motoie03.jpg", "■")</f>
        <v>■</v>
      </c>
      <c r="G11" s="2" t="s">
        <v>542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538</v>
      </c>
      <c r="N11" s="2" t="s">
        <v>539</v>
      </c>
      <c r="O11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051C5-3BA1-4CB2-B515-27CADAE866D6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79223</v>
      </c>
      <c r="B3" s="2" t="s">
        <v>726</v>
      </c>
      <c r="C3" s="2" t="s">
        <v>92</v>
      </c>
      <c r="D3" s="2" t="s">
        <v>118</v>
      </c>
      <c r="E3" s="7" t="s">
        <v>1250</v>
      </c>
      <c r="F3" s="3" t="str">
        <f>HYPERLINK("https://stat100.ameba.jp/tnk47/ratio20/illustrations/card/ill_79223_shogikarakurigiemon03.jpg", "■")</f>
        <v>■</v>
      </c>
      <c r="G3" s="2" t="s">
        <v>588</v>
      </c>
      <c r="H3" s="2" t="s">
        <v>586</v>
      </c>
      <c r="I3" s="2" t="s">
        <v>587</v>
      </c>
      <c r="J3" s="2">
        <v>12</v>
      </c>
      <c r="K3" s="2">
        <v>43564</v>
      </c>
      <c r="L3" s="2">
        <v>46873</v>
      </c>
      <c r="M3" s="2" t="s">
        <v>550</v>
      </c>
      <c r="N3" s="2" t="s">
        <v>175</v>
      </c>
      <c r="O3" s="11" t="s">
        <v>1528</v>
      </c>
    </row>
    <row r="4" spans="1:15">
      <c r="A4" s="2">
        <v>79305</v>
      </c>
      <c r="B4" s="2" t="s">
        <v>726</v>
      </c>
      <c r="C4" s="2" t="s">
        <v>551</v>
      </c>
      <c r="D4" s="2" t="s">
        <v>151</v>
      </c>
      <c r="E4" s="7" t="s">
        <v>1251</v>
      </c>
      <c r="F4" s="3" t="str">
        <f>HYPERLINK("https://stat100.ameba.jp/tnk47/ratio20/illustrations/card/ill_79305_hoshiyominoruru05.jpg", "■")</f>
        <v>■</v>
      </c>
      <c r="G4" s="2" t="s">
        <v>724</v>
      </c>
      <c r="H4" s="2" t="s">
        <v>544</v>
      </c>
      <c r="I4" s="2" t="s">
        <v>723</v>
      </c>
      <c r="J4" s="2">
        <v>9</v>
      </c>
      <c r="K4" s="2">
        <v>26873</v>
      </c>
      <c r="L4" s="2">
        <v>34964</v>
      </c>
      <c r="M4" s="2" t="s">
        <v>552</v>
      </c>
      <c r="N4" s="2" t="s">
        <v>1003</v>
      </c>
      <c r="O4" s="11"/>
    </row>
    <row r="5" spans="1:15">
      <c r="A5" s="2">
        <v>79233</v>
      </c>
      <c r="B5" s="2" t="s">
        <v>4</v>
      </c>
      <c r="C5" s="2" t="s">
        <v>6</v>
      </c>
      <c r="D5" s="2" t="s">
        <v>118</v>
      </c>
      <c r="E5" s="7" t="s">
        <v>1252</v>
      </c>
      <c r="F5" s="3" t="str">
        <f>HYPERLINK("https://stat100.ameba.jp/tnk47/ratio20/illustrations/card/ill_79233_odainokata03.jpg", "■")</f>
        <v>■</v>
      </c>
      <c r="G5" s="2" t="s">
        <v>585</v>
      </c>
      <c r="H5" s="2" t="s">
        <v>583</v>
      </c>
      <c r="I5" s="2" t="s">
        <v>584</v>
      </c>
      <c r="J5" s="2">
        <v>9</v>
      </c>
      <c r="K5" s="2">
        <v>26676</v>
      </c>
      <c r="L5" s="2">
        <v>24195</v>
      </c>
      <c r="M5" s="2" t="s">
        <v>553</v>
      </c>
      <c r="N5" s="2" t="s">
        <v>1001</v>
      </c>
      <c r="O5" s="11"/>
    </row>
    <row r="6" spans="1:15">
      <c r="A6" s="2">
        <v>79243</v>
      </c>
      <c r="B6" s="2" t="s">
        <v>4</v>
      </c>
      <c r="C6" s="2" t="s">
        <v>138</v>
      </c>
      <c r="D6" s="2" t="s">
        <v>118</v>
      </c>
      <c r="E6" s="7" t="s">
        <v>1253</v>
      </c>
      <c r="F6" s="3" t="str">
        <f>HYPERLINK("https://stat100.ameba.jp/tnk47/ratio20/illustrations/card/ill_79243_sadohayamisosei03.jpg", "■")</f>
        <v>■</v>
      </c>
      <c r="G6" s="2" t="s">
        <v>581</v>
      </c>
      <c r="H6" s="2" t="s">
        <v>35</v>
      </c>
      <c r="I6" s="2" t="s">
        <v>454</v>
      </c>
      <c r="J6" s="2">
        <v>9</v>
      </c>
      <c r="K6" s="2">
        <v>24195</v>
      </c>
      <c r="L6" s="2">
        <v>26676</v>
      </c>
      <c r="M6" s="2" t="s">
        <v>558</v>
      </c>
      <c r="N6" s="2" t="s">
        <v>1040</v>
      </c>
      <c r="O6" s="2" t="s">
        <v>1863</v>
      </c>
    </row>
    <row r="7" spans="1:15">
      <c r="A7" s="2">
        <v>79263</v>
      </c>
      <c r="B7" s="2" t="s">
        <v>10</v>
      </c>
      <c r="C7" s="2" t="s">
        <v>557</v>
      </c>
      <c r="D7" s="2" t="s">
        <v>118</v>
      </c>
      <c r="E7" s="7" t="s">
        <v>1254</v>
      </c>
      <c r="F7" s="3" t="str">
        <f>HYPERLINK("https://stat100.ameba.jp/tnk47/ratio20/illustrations/card/ill_79263_kaiheisakamototome03.jpg", "■")</f>
        <v>■</v>
      </c>
      <c r="G7" s="2" t="s">
        <v>568</v>
      </c>
      <c r="H7" s="2" t="s">
        <v>19</v>
      </c>
      <c r="I7" s="2" t="s">
        <v>83</v>
      </c>
      <c r="J7" s="2">
        <v>11</v>
      </c>
      <c r="K7" s="2">
        <v>19016</v>
      </c>
      <c r="L7" s="2">
        <v>22871</v>
      </c>
      <c r="M7" s="2" t="s">
        <v>559</v>
      </c>
      <c r="N7" s="2" t="s">
        <v>1041</v>
      </c>
      <c r="O7" s="11"/>
    </row>
    <row r="8" spans="1:15">
      <c r="A8" s="2">
        <v>79253</v>
      </c>
      <c r="B8" s="2" t="s">
        <v>10</v>
      </c>
      <c r="C8" s="2" t="s">
        <v>42</v>
      </c>
      <c r="D8" s="2" t="s">
        <v>118</v>
      </c>
      <c r="E8" s="7" t="s">
        <v>1255</v>
      </c>
      <c r="F8" s="3" t="str">
        <f>HYPERLINK("https://stat100.ameba.jp/tnk47/ratio20/illustrations/card/ill_79253_sangokushiyodabenzou03.jpg", "■")</f>
        <v>■</v>
      </c>
      <c r="G8" s="2" t="s">
        <v>578</v>
      </c>
      <c r="H8" s="2" t="s">
        <v>64</v>
      </c>
      <c r="I8" s="2" t="s">
        <v>126</v>
      </c>
      <c r="J8" s="2">
        <v>7</v>
      </c>
      <c r="K8" s="2">
        <v>14554</v>
      </c>
      <c r="L8" s="2">
        <v>12101</v>
      </c>
      <c r="M8" s="2" t="s">
        <v>560</v>
      </c>
      <c r="N8" s="2" t="s">
        <v>561</v>
      </c>
      <c r="O8" s="11"/>
    </row>
    <row r="9" spans="1:15">
      <c r="A9" s="2">
        <v>79273</v>
      </c>
      <c r="B9" s="2" t="s">
        <v>13</v>
      </c>
      <c r="C9" s="2" t="s">
        <v>556</v>
      </c>
      <c r="D9" s="2" t="s">
        <v>118</v>
      </c>
      <c r="E9" s="7" t="s">
        <v>1256</v>
      </c>
      <c r="F9" s="3" t="str">
        <f>HYPERLINK("https://stat100.ameba.jp/tnk47/ratio20/illustrations/card/ill_79273_ennoodunu03.jpg", "■")</f>
        <v>■</v>
      </c>
      <c r="G9" s="2" t="s">
        <v>569</v>
      </c>
      <c r="H9" s="2" t="s">
        <v>122</v>
      </c>
      <c r="I9" s="2" t="s">
        <v>549</v>
      </c>
      <c r="J9" s="2">
        <v>5</v>
      </c>
      <c r="K9" s="2">
        <v>6294</v>
      </c>
      <c r="L9" s="2">
        <v>5286</v>
      </c>
      <c r="M9" s="2" t="s">
        <v>562</v>
      </c>
      <c r="N9" s="2" t="s">
        <v>120</v>
      </c>
      <c r="O9" s="11"/>
    </row>
    <row r="10" spans="1:15">
      <c r="A10" s="2">
        <v>79283</v>
      </c>
      <c r="B10" s="2" t="s">
        <v>13</v>
      </c>
      <c r="C10" s="2" t="s">
        <v>555</v>
      </c>
      <c r="D10" s="2" t="s">
        <v>151</v>
      </c>
      <c r="E10" s="7" t="s">
        <v>1257</v>
      </c>
      <c r="F10" s="3" t="str">
        <f>HYPERLINK("https://stat100.ameba.jp/tnk47/ratio20/illustrations/card/ill_79283_onnagizoku03.jpg", "■")</f>
        <v>■</v>
      </c>
      <c r="G10" s="2" t="s">
        <v>571</v>
      </c>
      <c r="H10" s="2" t="s">
        <v>122</v>
      </c>
      <c r="I10" s="2" t="s">
        <v>572</v>
      </c>
      <c r="J10" s="2">
        <v>10</v>
      </c>
      <c r="K10" s="2">
        <v>10572</v>
      </c>
      <c r="L10" s="2">
        <v>12588</v>
      </c>
      <c r="M10" s="2" t="s">
        <v>563</v>
      </c>
      <c r="N10" s="2" t="s">
        <v>342</v>
      </c>
      <c r="O10" s="11"/>
    </row>
    <row r="11" spans="1:15">
      <c r="A11" s="2">
        <v>79293</v>
      </c>
      <c r="B11" s="2" t="s">
        <v>13</v>
      </c>
      <c r="C11" s="2" t="s">
        <v>554</v>
      </c>
      <c r="D11" s="2" t="s">
        <v>440</v>
      </c>
      <c r="E11" s="7" t="s">
        <v>1258</v>
      </c>
      <c r="F11" s="3" t="str">
        <f>HYPERLINK("https://stat100.ameba.jp/tnk47/ratio20/illustrations/card/ill_79293_ibekommyokyu03.jpg", "■")</f>
        <v>■</v>
      </c>
      <c r="G11" s="2" t="s">
        <v>570</v>
      </c>
      <c r="H11" s="2" t="s">
        <v>122</v>
      </c>
      <c r="I11" s="2" t="s">
        <v>573</v>
      </c>
      <c r="J11" s="2">
        <v>10</v>
      </c>
      <c r="K11" s="2">
        <v>12588</v>
      </c>
      <c r="L11" s="2">
        <v>10572</v>
      </c>
      <c r="M11" s="2" t="s">
        <v>564</v>
      </c>
      <c r="N11" s="2" t="s">
        <v>447</v>
      </c>
      <c r="O11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9C10A-0C9B-45DA-B99C-913187A46940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79873</v>
      </c>
      <c r="B3" s="2" t="s">
        <v>726</v>
      </c>
      <c r="C3" s="2" t="s">
        <v>92</v>
      </c>
      <c r="D3" s="2" t="s">
        <v>90</v>
      </c>
      <c r="E3" s="7" t="s">
        <v>1241</v>
      </c>
      <c r="F3" s="3" t="str">
        <f>HYPERLINK("https://stat100.ameba.jp/tnk47/ratio20/illustrations/card/ill_79873_kafunshuraihoshigamisama03.jpg", "■")</f>
        <v>■</v>
      </c>
      <c r="G3" s="2" t="s">
        <v>619</v>
      </c>
      <c r="H3" s="2" t="s">
        <v>618</v>
      </c>
      <c r="I3" s="2" t="s">
        <v>620</v>
      </c>
      <c r="J3" s="2">
        <v>12</v>
      </c>
      <c r="K3" s="2">
        <v>45505</v>
      </c>
      <c r="L3" s="2">
        <v>48947</v>
      </c>
      <c r="M3" s="2" t="s">
        <v>596</v>
      </c>
      <c r="N3" s="2" t="s">
        <v>1042</v>
      </c>
      <c r="O3" s="11" t="s">
        <v>1526</v>
      </c>
    </row>
    <row r="4" spans="1:15">
      <c r="A4" s="2">
        <v>79955</v>
      </c>
      <c r="B4" s="2" t="s">
        <v>726</v>
      </c>
      <c r="C4" s="2" t="s">
        <v>595</v>
      </c>
      <c r="D4" s="2" t="s">
        <v>118</v>
      </c>
      <c r="E4" s="7" t="s">
        <v>1242</v>
      </c>
      <c r="F4" s="3" t="str">
        <f>HYPERLINK("https://stat100.ameba.jp/tnk47/ratio20/illustrations/card/ill_79955_aishoerato05.jpg", "■")</f>
        <v>■</v>
      </c>
      <c r="G4" s="2" t="s">
        <v>780</v>
      </c>
      <c r="H4" s="2" t="s">
        <v>621</v>
      </c>
      <c r="I4" s="2" t="s">
        <v>781</v>
      </c>
      <c r="J4" s="2">
        <v>9</v>
      </c>
      <c r="K4" s="2">
        <v>34964</v>
      </c>
      <c r="L4" s="2">
        <v>26873</v>
      </c>
      <c r="M4" s="2" t="s">
        <v>594</v>
      </c>
      <c r="N4" s="2" t="s">
        <v>1043</v>
      </c>
      <c r="O4" s="11"/>
    </row>
    <row r="5" spans="1:15">
      <c r="A5" s="2">
        <v>79883</v>
      </c>
      <c r="B5" s="2" t="s">
        <v>4</v>
      </c>
      <c r="C5" s="2" t="s">
        <v>12</v>
      </c>
      <c r="D5" s="2" t="s">
        <v>90</v>
      </c>
      <c r="E5" s="7" t="s">
        <v>1243</v>
      </c>
      <c r="F5" s="3" t="str">
        <f>HYPERLINK("https://stat100.ameba.jp/tnk47/ratio20/illustrations/card/ill_79883_kowakamai03.jpg", "■")</f>
        <v>■</v>
      </c>
      <c r="G5" s="2" t="s">
        <v>617</v>
      </c>
      <c r="H5" s="2" t="s">
        <v>614</v>
      </c>
      <c r="I5" s="2" t="s">
        <v>615</v>
      </c>
      <c r="J5" s="2">
        <v>9</v>
      </c>
      <c r="K5" s="2">
        <v>26676</v>
      </c>
      <c r="L5" s="2">
        <v>24195</v>
      </c>
      <c r="M5" s="2" t="s">
        <v>597</v>
      </c>
      <c r="N5" s="2" t="s">
        <v>1019</v>
      </c>
      <c r="O5" s="11" t="s">
        <v>1523</v>
      </c>
    </row>
    <row r="6" spans="1:15">
      <c r="A6" s="2">
        <v>79893</v>
      </c>
      <c r="B6" s="2" t="s">
        <v>4</v>
      </c>
      <c r="C6" s="2" t="s">
        <v>98</v>
      </c>
      <c r="D6" s="2" t="s">
        <v>90</v>
      </c>
      <c r="E6" s="7" t="s">
        <v>1244</v>
      </c>
      <c r="F6" s="3" t="str">
        <f>HYPERLINK("https://stat100.ameba.jp/tnk47/ratio20/illustrations/card/ill_79893_showaretoropoppusarukanigassen.jpg", "■")</f>
        <v>■</v>
      </c>
      <c r="G6" s="2" t="s">
        <v>613</v>
      </c>
      <c r="H6" s="2" t="s">
        <v>250</v>
      </c>
      <c r="I6" s="2" t="s">
        <v>458</v>
      </c>
      <c r="J6" s="2">
        <v>9</v>
      </c>
      <c r="K6" s="2">
        <v>24195</v>
      </c>
      <c r="L6" s="2">
        <v>26676</v>
      </c>
      <c r="M6" s="2" t="s">
        <v>601</v>
      </c>
      <c r="N6" s="2" t="s">
        <v>1020</v>
      </c>
      <c r="O6" s="11"/>
    </row>
    <row r="7" spans="1:15">
      <c r="A7" s="2">
        <v>79913</v>
      </c>
      <c r="B7" s="2" t="s">
        <v>10</v>
      </c>
      <c r="C7" s="2" t="s">
        <v>32</v>
      </c>
      <c r="D7" s="2" t="s">
        <v>90</v>
      </c>
      <c r="E7" s="7" t="s">
        <v>1245</v>
      </c>
      <c r="F7" s="3" t="str">
        <f>HYPERLINK("https://stat100.ameba.jp/tnk47/ratio20/illustrations/card/ill_79913_hirahakko03.jpg", "■")</f>
        <v>■</v>
      </c>
      <c r="G7" s="2" t="s">
        <v>611</v>
      </c>
      <c r="H7" s="2" t="s">
        <v>19</v>
      </c>
      <c r="I7" s="2" t="s">
        <v>83</v>
      </c>
      <c r="J7" s="2">
        <v>11</v>
      </c>
      <c r="K7" s="2">
        <v>19016</v>
      </c>
      <c r="L7" s="2">
        <v>22871</v>
      </c>
      <c r="M7" s="2" t="s">
        <v>602</v>
      </c>
      <c r="N7" s="2" t="s">
        <v>1044</v>
      </c>
      <c r="O7" s="11"/>
    </row>
    <row r="8" spans="1:15">
      <c r="A8" s="2">
        <v>79903</v>
      </c>
      <c r="B8" s="2" t="s">
        <v>10</v>
      </c>
      <c r="C8" s="2" t="s">
        <v>49</v>
      </c>
      <c r="D8" s="2" t="s">
        <v>90</v>
      </c>
      <c r="E8" s="7" t="s">
        <v>1246</v>
      </c>
      <c r="F8" s="3" t="str">
        <f>HYPERLINK("https://stat100.ameba.jp/tnk47/ratio20/illustrations/card/ill_79903_koyahijiri03.jpg", "■")</f>
        <v>■</v>
      </c>
      <c r="G8" s="2" t="s">
        <v>612</v>
      </c>
      <c r="H8" s="2" t="s">
        <v>64</v>
      </c>
      <c r="I8" s="2" t="s">
        <v>126</v>
      </c>
      <c r="J8" s="2">
        <v>7</v>
      </c>
      <c r="K8" s="2">
        <v>14554</v>
      </c>
      <c r="L8" s="2">
        <v>12101</v>
      </c>
      <c r="M8" s="2" t="s">
        <v>603</v>
      </c>
      <c r="N8" s="2" t="s">
        <v>604</v>
      </c>
      <c r="O8" s="11"/>
    </row>
    <row r="9" spans="1:15">
      <c r="A9" s="2">
        <v>79923</v>
      </c>
      <c r="B9" s="2" t="s">
        <v>13</v>
      </c>
      <c r="C9" s="2" t="s">
        <v>600</v>
      </c>
      <c r="D9" s="2" t="s">
        <v>90</v>
      </c>
      <c r="E9" s="7" t="s">
        <v>1247</v>
      </c>
      <c r="F9" s="3" t="str">
        <f>HYPERLINK("https://stat100.ameba.jp/tnk47/ratio20/illustrations/card/ill_79923_betonamuhachikatsugihime03.jpg", "■")</f>
        <v>■</v>
      </c>
      <c r="G9" s="2" t="s">
        <v>610</v>
      </c>
      <c r="H9" s="2" t="s">
        <v>122</v>
      </c>
      <c r="I9" s="2" t="s">
        <v>121</v>
      </c>
      <c r="J9" s="2">
        <v>5</v>
      </c>
      <c r="K9" s="2">
        <v>6294</v>
      </c>
      <c r="L9" s="2">
        <v>5286</v>
      </c>
      <c r="M9" s="2" t="s">
        <v>605</v>
      </c>
      <c r="N9" s="2" t="s">
        <v>112</v>
      </c>
      <c r="O9" s="11"/>
    </row>
    <row r="10" spans="1:15">
      <c r="A10" s="2">
        <v>79933</v>
      </c>
      <c r="B10" s="2" t="s">
        <v>13</v>
      </c>
      <c r="C10" s="2" t="s">
        <v>599</v>
      </c>
      <c r="D10" s="2" t="s">
        <v>40</v>
      </c>
      <c r="E10" s="7" t="s">
        <v>1248</v>
      </c>
      <c r="F10" s="3" t="str">
        <f>HYPERLINK("https://stat100.ameba.jp/tnk47/ratio20/illustrations/card/ill_79933_satakeyoshinobu03.jpg", "■")</f>
        <v>■</v>
      </c>
      <c r="G10" s="2" t="s">
        <v>609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606</v>
      </c>
      <c r="N10" s="2" t="s">
        <v>59</v>
      </c>
      <c r="O10" s="11"/>
    </row>
    <row r="11" spans="1:15">
      <c r="A11" s="2">
        <v>79943</v>
      </c>
      <c r="B11" s="2" t="s">
        <v>13</v>
      </c>
      <c r="C11" s="2" t="s">
        <v>598</v>
      </c>
      <c r="D11" s="2" t="s">
        <v>61</v>
      </c>
      <c r="E11" s="7" t="s">
        <v>1249</v>
      </c>
      <c r="F11" s="3" t="str">
        <f>HYPERLINK("https://stat100.ameba.jp/tnk47/ratio20/illustrations/card/ill_79943_senteisai03.jpg", "■")</f>
        <v>■</v>
      </c>
      <c r="G11" s="2" t="s">
        <v>608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607</v>
      </c>
      <c r="N11" s="2" t="s">
        <v>197</v>
      </c>
      <c r="O11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2E08B-2914-4740-B91E-67417D1F7C79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80473</v>
      </c>
      <c r="B3" s="2" t="s">
        <v>726</v>
      </c>
      <c r="C3" s="2" t="s">
        <v>2</v>
      </c>
      <c r="D3" s="2" t="s">
        <v>298</v>
      </c>
      <c r="E3" s="7" t="s">
        <v>1232</v>
      </c>
      <c r="F3" s="3" t="str">
        <f>HYPERLINK("https://stat100.ameba.jp/tnk47/ratio20/illustrations/card/ill_80473_banchokotetsu03.jpg", "■")</f>
        <v>■</v>
      </c>
      <c r="G3" s="2" t="s">
        <v>662</v>
      </c>
      <c r="H3" s="2" t="s">
        <v>16</v>
      </c>
      <c r="I3" s="2" t="s">
        <v>857</v>
      </c>
      <c r="J3" s="2">
        <v>12</v>
      </c>
      <c r="K3" s="2">
        <v>47374</v>
      </c>
      <c r="L3" s="2">
        <v>50922</v>
      </c>
      <c r="M3" s="2" t="s">
        <v>639</v>
      </c>
      <c r="N3" s="2" t="s">
        <v>1045</v>
      </c>
      <c r="O3" s="11" t="s">
        <v>1523</v>
      </c>
    </row>
    <row r="4" spans="1:15">
      <c r="A4" s="2">
        <v>80555</v>
      </c>
      <c r="B4" s="2" t="s">
        <v>726</v>
      </c>
      <c r="C4" s="2" t="s">
        <v>551</v>
      </c>
      <c r="D4" s="2" t="s">
        <v>440</v>
      </c>
      <c r="E4" s="7" t="s">
        <v>1233</v>
      </c>
      <c r="F4" s="3" t="str">
        <f>HYPERLINK("https://stat100.ameba.jp/tnk47/ratio20/illustrations/card/ill_80555_sakuraoniuwabamiyamaza05.jpg", "■")</f>
        <v>■</v>
      </c>
      <c r="G4" s="2" t="s">
        <v>797</v>
      </c>
      <c r="H4" s="2" t="s">
        <v>621</v>
      </c>
      <c r="I4" s="2" t="s">
        <v>781</v>
      </c>
      <c r="J4" s="2">
        <v>9</v>
      </c>
      <c r="K4" s="2">
        <v>26873</v>
      </c>
      <c r="L4" s="2">
        <v>34964</v>
      </c>
      <c r="M4" s="2" t="s">
        <v>640</v>
      </c>
      <c r="N4" s="2" t="s">
        <v>1046</v>
      </c>
      <c r="O4" s="11"/>
    </row>
    <row r="5" spans="1:15">
      <c r="A5" s="2">
        <v>80483</v>
      </c>
      <c r="B5" s="2" t="s">
        <v>4</v>
      </c>
      <c r="C5" s="2" t="s">
        <v>634</v>
      </c>
      <c r="D5" s="2" t="s">
        <v>298</v>
      </c>
      <c r="E5" s="7" t="s">
        <v>1234</v>
      </c>
      <c r="F5" s="3" t="str">
        <f>HYPERLINK("https://stat100.ameba.jp/tnk47/ratio20/illustrations/card/ill_80483_yamanouenokura.jpg", "■")</f>
        <v>■</v>
      </c>
      <c r="G5" s="2" t="s">
        <v>661</v>
      </c>
      <c r="H5" s="2" t="s">
        <v>652</v>
      </c>
      <c r="I5" s="2" t="s">
        <v>660</v>
      </c>
      <c r="J5" s="2">
        <v>9</v>
      </c>
      <c r="K5" s="2">
        <v>26676</v>
      </c>
      <c r="L5" s="2">
        <v>24195</v>
      </c>
      <c r="M5" s="2" t="s">
        <v>641</v>
      </c>
      <c r="N5" s="2" t="s">
        <v>1026</v>
      </c>
      <c r="O5" s="11" t="s">
        <v>1529</v>
      </c>
    </row>
    <row r="6" spans="1:15">
      <c r="A6" s="2">
        <v>80493</v>
      </c>
      <c r="B6" s="2" t="s">
        <v>4</v>
      </c>
      <c r="C6" s="2" t="s">
        <v>32</v>
      </c>
      <c r="D6" s="2" t="s">
        <v>298</v>
      </c>
      <c r="E6" s="7" t="s">
        <v>1235</v>
      </c>
      <c r="F6" s="3" t="str">
        <f>HYPERLINK("https://stat100.ameba.jp/tnk47/ratio20/illustrations/card/ill_80493_kujotakeko03.jpg", "■")</f>
        <v>■</v>
      </c>
      <c r="G6" s="2" t="s">
        <v>659</v>
      </c>
      <c r="H6" s="2" t="s">
        <v>35</v>
      </c>
      <c r="I6" s="2" t="s">
        <v>623</v>
      </c>
      <c r="J6" s="2">
        <v>9</v>
      </c>
      <c r="K6" s="2">
        <v>24195</v>
      </c>
      <c r="L6" s="2">
        <v>26676</v>
      </c>
      <c r="M6" s="2" t="s">
        <v>642</v>
      </c>
      <c r="N6" s="2" t="s">
        <v>1027</v>
      </c>
      <c r="O6" s="11" t="s">
        <v>1530</v>
      </c>
    </row>
    <row r="7" spans="1:15">
      <c r="A7" s="2">
        <v>80513</v>
      </c>
      <c r="B7" s="2" t="s">
        <v>10</v>
      </c>
      <c r="C7" s="2" t="s">
        <v>599</v>
      </c>
      <c r="D7" s="2" t="s">
        <v>298</v>
      </c>
      <c r="E7" s="7" t="s">
        <v>1236</v>
      </c>
      <c r="F7" s="3" t="str">
        <f>HYPERLINK("https://stat100.ameba.jp/tnk47/ratio20/illustrations/card/ill_80513_nezumikozo03.jpg", "■")</f>
        <v>■</v>
      </c>
      <c r="G7" s="2" t="s">
        <v>648</v>
      </c>
      <c r="H7" s="2" t="s">
        <v>19</v>
      </c>
      <c r="I7" s="2" t="s">
        <v>83</v>
      </c>
      <c r="J7" s="2">
        <v>11</v>
      </c>
      <c r="K7" s="2">
        <v>19016</v>
      </c>
      <c r="L7" s="2">
        <v>22871</v>
      </c>
      <c r="M7" s="2" t="s">
        <v>643</v>
      </c>
      <c r="N7" s="2" t="s">
        <v>1047</v>
      </c>
      <c r="O7" s="11"/>
    </row>
    <row r="8" spans="1:15">
      <c r="A8" s="2">
        <v>80503</v>
      </c>
      <c r="B8" s="2" t="s">
        <v>10</v>
      </c>
      <c r="C8" s="2" t="s">
        <v>42</v>
      </c>
      <c r="D8" s="2" t="s">
        <v>298</v>
      </c>
      <c r="E8" s="7" t="s">
        <v>1237</v>
      </c>
      <c r="F8" s="3" t="str">
        <f>HYPERLINK("https://stat100.ameba.jp/tnk47/ratio20/illustrations/card/ill_80503_ebinarin03.jpg", "■")</f>
        <v>■</v>
      </c>
      <c r="G8" s="2" t="s">
        <v>653</v>
      </c>
      <c r="H8" s="2" t="s">
        <v>64</v>
      </c>
      <c r="I8" s="2" t="s">
        <v>654</v>
      </c>
      <c r="J8" s="2">
        <v>7</v>
      </c>
      <c r="K8" s="2">
        <v>14554</v>
      </c>
      <c r="L8" s="2">
        <v>12101</v>
      </c>
      <c r="M8" s="2" t="s">
        <v>644</v>
      </c>
      <c r="N8" s="2" t="s">
        <v>369</v>
      </c>
      <c r="O8" s="11"/>
    </row>
    <row r="9" spans="1:15">
      <c r="A9" s="2">
        <v>80523</v>
      </c>
      <c r="B9" s="2" t="s">
        <v>13</v>
      </c>
      <c r="C9" s="2" t="s">
        <v>635</v>
      </c>
      <c r="D9" s="2" t="s">
        <v>298</v>
      </c>
      <c r="E9" s="7" t="s">
        <v>1238</v>
      </c>
      <c r="F9" s="3" t="str">
        <f>HYPERLINK("https://stat100.ameba.jp/tnk47/ratio20/illustrations/card/ill_80523_oginoginko03.jpg", "■")</f>
        <v>■</v>
      </c>
      <c r="G9" s="2" t="s">
        <v>649</v>
      </c>
      <c r="H9" s="2" t="s">
        <v>122</v>
      </c>
      <c r="I9" s="2" t="s">
        <v>121</v>
      </c>
      <c r="J9" s="2">
        <v>5</v>
      </c>
      <c r="K9" s="2">
        <v>6294</v>
      </c>
      <c r="L9" s="2">
        <v>5286</v>
      </c>
      <c r="M9" s="2" t="s">
        <v>645</v>
      </c>
      <c r="N9" s="2" t="s">
        <v>310</v>
      </c>
      <c r="O9" s="11"/>
    </row>
    <row r="10" spans="1:15">
      <c r="A10" s="2">
        <v>80533</v>
      </c>
      <c r="B10" s="2" t="s">
        <v>13</v>
      </c>
      <c r="C10" s="2" t="s">
        <v>636</v>
      </c>
      <c r="D10" s="2" t="s">
        <v>638</v>
      </c>
      <c r="E10" s="7" t="s">
        <v>1239</v>
      </c>
      <c r="F10" s="3" t="str">
        <f>HYPERLINK("https://stat100.ameba.jp/tnk47/ratio20/illustrations/card/ill_80533_burabansakamototome03.jpg", "■")</f>
        <v>■</v>
      </c>
      <c r="G10" s="2" t="s">
        <v>651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646</v>
      </c>
      <c r="N10" s="2" t="s">
        <v>145</v>
      </c>
      <c r="O10" s="11"/>
    </row>
    <row r="11" spans="1:15">
      <c r="A11" s="2">
        <v>80543</v>
      </c>
      <c r="B11" s="2" t="s">
        <v>13</v>
      </c>
      <c r="C11" s="2" t="s">
        <v>637</v>
      </c>
      <c r="D11" s="2" t="s">
        <v>440</v>
      </c>
      <c r="E11" s="7" t="s">
        <v>1240</v>
      </c>
      <c r="F11" s="3" t="str">
        <f>HYPERLINK("https://stat100.ameba.jp/tnk47/ratio20/illustrations/card/ill_80543_irohahime03.jpg", "■")</f>
        <v>■</v>
      </c>
      <c r="G11" s="2" t="s">
        <v>650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647</v>
      </c>
      <c r="N11" s="2" t="s">
        <v>539</v>
      </c>
      <c r="O11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0B8E-5097-4967-BC0A-23FAF5055B2D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81033</v>
      </c>
      <c r="B3" s="2" t="s">
        <v>726</v>
      </c>
      <c r="C3" s="2" t="s">
        <v>92</v>
      </c>
      <c r="D3" s="2" t="s">
        <v>93</v>
      </c>
      <c r="E3" s="7" t="s">
        <v>1223</v>
      </c>
      <c r="F3" s="3" t="str">
        <f>HYPERLINK("https://stat100.ameba.jp/tnk47/ratio20/illustrations/card/ill_81033_sakasuibarakiyanki03.jpg", "■")</f>
        <v>■</v>
      </c>
      <c r="G3" s="2" t="s">
        <v>820</v>
      </c>
      <c r="H3" s="2" t="s">
        <v>172</v>
      </c>
      <c r="I3" s="2" t="s">
        <v>525</v>
      </c>
      <c r="J3" s="2">
        <v>12</v>
      </c>
      <c r="K3" s="2">
        <v>57216</v>
      </c>
      <c r="L3" s="2">
        <v>53187</v>
      </c>
      <c r="M3" s="2" t="s">
        <v>663</v>
      </c>
      <c r="N3" s="2" t="s">
        <v>1048</v>
      </c>
      <c r="O3" s="11" t="s">
        <v>1531</v>
      </c>
    </row>
    <row r="4" spans="1:15">
      <c r="A4" s="2">
        <v>81115</v>
      </c>
      <c r="B4" s="2" t="s">
        <v>726</v>
      </c>
      <c r="C4" s="2" t="s">
        <v>595</v>
      </c>
      <c r="D4" s="2" t="s">
        <v>90</v>
      </c>
      <c r="E4" s="7" t="s">
        <v>1224</v>
      </c>
      <c r="F4" s="3" t="str">
        <f>HYPERLINK("https://stat100.ameba.jp/tnk47/ratio20/illustrations/card/ill_81115_sakasuakagamitokurokami05.jpg", "■")</f>
        <v>■</v>
      </c>
      <c r="G4" s="2" t="s">
        <v>819</v>
      </c>
      <c r="H4" s="2" t="s">
        <v>621</v>
      </c>
      <c r="I4" s="2" t="s">
        <v>781</v>
      </c>
      <c r="J4" s="2">
        <v>9</v>
      </c>
      <c r="K4" s="2">
        <v>39513</v>
      </c>
      <c r="L4" s="2">
        <v>28611</v>
      </c>
      <c r="M4" s="2" t="s">
        <v>664</v>
      </c>
      <c r="N4" s="2" t="s">
        <v>1049</v>
      </c>
      <c r="O4" s="11"/>
    </row>
    <row r="5" spans="1:15">
      <c r="A5" s="2">
        <v>81043</v>
      </c>
      <c r="B5" s="2" t="s">
        <v>4</v>
      </c>
      <c r="C5" s="2" t="s">
        <v>98</v>
      </c>
      <c r="D5" s="2" t="s">
        <v>93</v>
      </c>
      <c r="E5" s="7" t="s">
        <v>1225</v>
      </c>
      <c r="F5" s="3" t="str">
        <f>HYPERLINK("https://stat100.ameba.jp/tnk47/ratio20/illustrations/card/ill_81043_tsukinowaguma03.jpg", "■")</f>
        <v>■</v>
      </c>
      <c r="G5" s="2" t="s">
        <v>721</v>
      </c>
      <c r="H5" s="2" t="s">
        <v>679</v>
      </c>
      <c r="I5" s="2" t="s">
        <v>722</v>
      </c>
      <c r="J5" s="2">
        <v>9</v>
      </c>
      <c r="K5" s="2">
        <v>24195</v>
      </c>
      <c r="L5" s="2">
        <v>26676</v>
      </c>
      <c r="M5" s="2" t="s">
        <v>665</v>
      </c>
      <c r="N5" s="2" t="s">
        <v>976</v>
      </c>
      <c r="O5" s="2" t="s">
        <v>2030</v>
      </c>
    </row>
    <row r="6" spans="1:15">
      <c r="A6" s="2">
        <v>81053</v>
      </c>
      <c r="B6" s="2" t="s">
        <v>4</v>
      </c>
      <c r="C6" s="2" t="s">
        <v>138</v>
      </c>
      <c r="D6" s="2" t="s">
        <v>93</v>
      </c>
      <c r="E6" s="7" t="s">
        <v>1226</v>
      </c>
      <c r="F6" s="3" t="str">
        <f>HYPERLINK("https://stat100.ameba.jp/tnk47/ratio20/illustrations/card/ill_81053_howaitotaigasan03.jpg", "■")</f>
        <v>■</v>
      </c>
      <c r="G6" s="2" t="s">
        <v>796</v>
      </c>
      <c r="H6" s="2" t="s">
        <v>35</v>
      </c>
      <c r="I6" s="2" t="s">
        <v>795</v>
      </c>
      <c r="J6" s="2">
        <v>9</v>
      </c>
      <c r="K6" s="2">
        <v>26676</v>
      </c>
      <c r="L6" s="2">
        <v>24195</v>
      </c>
      <c r="M6" s="2" t="s">
        <v>666</v>
      </c>
      <c r="N6" s="2" t="s">
        <v>1050</v>
      </c>
      <c r="O6" s="2" t="s">
        <v>1630</v>
      </c>
    </row>
    <row r="7" spans="1:15">
      <c r="A7" s="2">
        <v>81073</v>
      </c>
      <c r="B7" s="2" t="s">
        <v>10</v>
      </c>
      <c r="C7" s="2" t="s">
        <v>8</v>
      </c>
      <c r="D7" s="2" t="s">
        <v>93</v>
      </c>
      <c r="E7" s="7" t="s">
        <v>1227</v>
      </c>
      <c r="F7" s="3" t="str">
        <f>HYPERLINK("https://stat100.ameba.jp/tnk47/ratio20/illustrations/card/ill_81073_gurantoshimauma03.jpg", "■")</f>
        <v>■</v>
      </c>
      <c r="G7" s="2" t="s">
        <v>676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667</v>
      </c>
      <c r="N7" s="2" t="s">
        <v>1051</v>
      </c>
      <c r="O7" s="11"/>
    </row>
    <row r="8" spans="1:15">
      <c r="A8" s="2">
        <v>81063</v>
      </c>
      <c r="B8" s="2" t="s">
        <v>10</v>
      </c>
      <c r="C8" s="2" t="s">
        <v>6</v>
      </c>
      <c r="D8" s="2" t="s">
        <v>93</v>
      </c>
      <c r="E8" s="7" t="s">
        <v>1228</v>
      </c>
      <c r="F8" s="3" t="str">
        <f>HYPERLINK("https://stat100.ameba.jp/tnk47/ratio20/illustrations/card/ill_81063_koteipenginchan03.jpg", "■")</f>
        <v>■</v>
      </c>
      <c r="G8" s="2" t="s">
        <v>794</v>
      </c>
      <c r="H8" s="2" t="s">
        <v>64</v>
      </c>
      <c r="I8" s="2" t="s">
        <v>126</v>
      </c>
      <c r="J8" s="2">
        <v>7</v>
      </c>
      <c r="K8" s="2">
        <v>12101</v>
      </c>
      <c r="L8" s="2">
        <v>14554</v>
      </c>
      <c r="M8" s="2" t="s">
        <v>668</v>
      </c>
      <c r="N8" s="2" t="s">
        <v>335</v>
      </c>
      <c r="O8" s="11"/>
    </row>
    <row r="9" spans="1:15">
      <c r="A9" s="2">
        <v>81083</v>
      </c>
      <c r="B9" s="2" t="s">
        <v>13</v>
      </c>
      <c r="C9" s="2" t="s">
        <v>308</v>
      </c>
      <c r="D9" s="2" t="s">
        <v>93</v>
      </c>
      <c r="E9" s="7" t="s">
        <v>1229</v>
      </c>
      <c r="F9" s="3" t="str">
        <f>HYPERLINK("https://stat100.ameba.jp/tnk47/ratio20/illustrations/card/ill_81083_torampuakitainukun03.jpg", "■")</f>
        <v>■</v>
      </c>
      <c r="G9" s="2" t="s">
        <v>678</v>
      </c>
      <c r="H9" s="2" t="s">
        <v>122</v>
      </c>
      <c r="I9" s="2" t="s">
        <v>121</v>
      </c>
      <c r="J9" s="2">
        <v>5</v>
      </c>
      <c r="K9" s="2">
        <v>5286</v>
      </c>
      <c r="L9" s="2">
        <v>6294</v>
      </c>
      <c r="M9" s="2" t="s">
        <v>669</v>
      </c>
      <c r="N9" s="2" t="s">
        <v>443</v>
      </c>
      <c r="O9" s="11"/>
    </row>
    <row r="10" spans="1:15">
      <c r="A10" s="2">
        <v>81093</v>
      </c>
      <c r="B10" s="2" t="s">
        <v>13</v>
      </c>
      <c r="C10" s="2" t="s">
        <v>670</v>
      </c>
      <c r="D10" s="2" t="s">
        <v>90</v>
      </c>
      <c r="E10" s="7" t="s">
        <v>1230</v>
      </c>
      <c r="F10" s="3" t="str">
        <f>HYPERLINK("https://stat100.ameba.jp/tnk47/ratio20/illustrations/card/ill_81093_sarunoshiri03.jpg", "■")</f>
        <v>■</v>
      </c>
      <c r="G10" s="2" t="s">
        <v>677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671</v>
      </c>
      <c r="N10" s="2" t="s">
        <v>112</v>
      </c>
      <c r="O10" s="11"/>
    </row>
    <row r="11" spans="1:15">
      <c r="A11" s="2">
        <v>81103</v>
      </c>
      <c r="B11" s="2" t="s">
        <v>13</v>
      </c>
      <c r="C11" s="2" t="s">
        <v>672</v>
      </c>
      <c r="D11" s="2" t="s">
        <v>118</v>
      </c>
      <c r="E11" s="7" t="s">
        <v>1231</v>
      </c>
      <c r="F11" s="3" t="str">
        <f>HYPERLINK("https://stat100.ameba.jp/tnk47/ratio20/illustrations/card/ill_81103_engekigishuumoninnotango03.jpg", "■")</f>
        <v>■</v>
      </c>
      <c r="G11" s="2" t="s">
        <v>675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673</v>
      </c>
      <c r="N11" s="2" t="s">
        <v>674</v>
      </c>
      <c r="O11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6625-78D9-44BF-ADBE-ECEBEE05D99E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81633</v>
      </c>
      <c r="B3" s="2" t="s">
        <v>726</v>
      </c>
      <c r="C3" s="2" t="s">
        <v>92</v>
      </c>
      <c r="D3" s="2" t="s">
        <v>128</v>
      </c>
      <c r="E3" s="7" t="s">
        <v>1214</v>
      </c>
      <c r="F3" s="3" t="str">
        <f>HYPERLINK("https://stat100.ameba.jp/tnk47/ratio20/illustrations/card/ill_81633_amehimenogyakushunohime03.jpg", "■")</f>
        <v>■</v>
      </c>
      <c r="G3" s="2" t="s">
        <v>855</v>
      </c>
      <c r="H3" s="2" t="s">
        <v>854</v>
      </c>
      <c r="I3" s="2" t="s">
        <v>856</v>
      </c>
      <c r="J3" s="2">
        <v>12</v>
      </c>
      <c r="K3" s="2">
        <v>45594</v>
      </c>
      <c r="L3" s="2">
        <v>49051</v>
      </c>
      <c r="M3" s="2" t="s">
        <v>680</v>
      </c>
      <c r="N3" s="2" t="s">
        <v>978</v>
      </c>
      <c r="O3" s="11" t="s">
        <v>2023</v>
      </c>
    </row>
    <row r="4" spans="1:15">
      <c r="A4" s="2">
        <v>81715</v>
      </c>
      <c r="B4" s="2" t="s">
        <v>726</v>
      </c>
      <c r="C4" s="2" t="s">
        <v>681</v>
      </c>
      <c r="D4" s="2" t="s">
        <v>128</v>
      </c>
      <c r="E4" s="7" t="s">
        <v>1215</v>
      </c>
      <c r="F4" s="3" t="str">
        <f>HYPERLINK("https://stat100.ameba.jp/tnk47/ratio20/illustrations/card/ill_81715_kourinkoujokazunomiya05.jpg", "■")</f>
        <v>■</v>
      </c>
      <c r="G4" s="2" t="s">
        <v>849</v>
      </c>
      <c r="H4" s="2" t="s">
        <v>847</v>
      </c>
      <c r="I4" s="2" t="s">
        <v>848</v>
      </c>
      <c r="J4" s="2">
        <v>9</v>
      </c>
      <c r="K4" s="2">
        <v>34964</v>
      </c>
      <c r="L4" s="2">
        <v>26873</v>
      </c>
      <c r="M4" s="2" t="s">
        <v>682</v>
      </c>
      <c r="N4" s="2" t="s">
        <v>1052</v>
      </c>
      <c r="O4" s="11"/>
    </row>
    <row r="5" spans="1:15">
      <c r="A5" s="2">
        <v>81643</v>
      </c>
      <c r="B5" s="2" t="s">
        <v>4</v>
      </c>
      <c r="C5" s="2" t="s">
        <v>103</v>
      </c>
      <c r="D5" s="2" t="s">
        <v>128</v>
      </c>
      <c r="E5" s="7" t="s">
        <v>1216</v>
      </c>
      <c r="F5" s="3" t="str">
        <f>HYPERLINK("https://stat100.ameba.jp/tnk47/ratio20/illustrations/card/ill_81643_orurinokata03.jpg", "■")</f>
        <v>■</v>
      </c>
      <c r="G5" s="2" t="s">
        <v>853</v>
      </c>
      <c r="H5" s="2" t="s">
        <v>851</v>
      </c>
      <c r="I5" s="2" t="s">
        <v>852</v>
      </c>
      <c r="J5" s="2">
        <v>9</v>
      </c>
      <c r="K5" s="2">
        <v>26676</v>
      </c>
      <c r="L5" s="2">
        <v>24195</v>
      </c>
      <c r="M5" s="2" t="s">
        <v>683</v>
      </c>
      <c r="N5" s="2" t="s">
        <v>981</v>
      </c>
      <c r="O5" s="11" t="s">
        <v>1532</v>
      </c>
    </row>
    <row r="6" spans="1:15">
      <c r="A6" s="2">
        <v>81653</v>
      </c>
      <c r="B6" s="2" t="s">
        <v>4</v>
      </c>
      <c r="C6" s="2" t="s">
        <v>98</v>
      </c>
      <c r="D6" s="2" t="s">
        <v>128</v>
      </c>
      <c r="E6" s="7" t="s">
        <v>1217</v>
      </c>
      <c r="F6" s="3" t="str">
        <f>HYPERLINK("https://stat100.ameba.jp/tnk47/ratio20/illustrations/card/ill_81653_matsudairateru03.jpg", "■")</f>
        <v>■</v>
      </c>
      <c r="G6" s="2" t="s">
        <v>850</v>
      </c>
      <c r="H6" s="2" t="s">
        <v>35</v>
      </c>
      <c r="I6" s="2" t="s">
        <v>454</v>
      </c>
      <c r="J6" s="2">
        <v>9</v>
      </c>
      <c r="K6" s="2">
        <v>24195</v>
      </c>
      <c r="L6" s="2">
        <v>26676</v>
      </c>
      <c r="M6" s="2" t="s">
        <v>684</v>
      </c>
      <c r="N6" s="2" t="s">
        <v>1020</v>
      </c>
      <c r="O6" s="11" t="s">
        <v>1530</v>
      </c>
    </row>
    <row r="7" spans="1:15">
      <c r="A7" s="2">
        <v>81673</v>
      </c>
      <c r="B7" s="2" t="s">
        <v>10</v>
      </c>
      <c r="C7" s="2" t="s">
        <v>12</v>
      </c>
      <c r="D7" s="2" t="s">
        <v>128</v>
      </c>
      <c r="E7" s="7" t="s">
        <v>1218</v>
      </c>
      <c r="F7" s="3" t="str">
        <f>HYPERLINK("https://stat100.ameba.jp/tnk47/ratio20/illustrations/card/ill_81673_kunihime03.jpg", "■")</f>
        <v>■</v>
      </c>
      <c r="G7" s="2" t="s">
        <v>696</v>
      </c>
      <c r="H7" s="2" t="s">
        <v>19</v>
      </c>
      <c r="I7" s="2" t="s">
        <v>83</v>
      </c>
      <c r="J7" s="2">
        <v>11</v>
      </c>
      <c r="K7" s="2">
        <v>19016</v>
      </c>
      <c r="L7" s="2">
        <v>22871</v>
      </c>
      <c r="M7" s="2" t="s">
        <v>685</v>
      </c>
      <c r="N7" s="2" t="s">
        <v>1053</v>
      </c>
      <c r="O7" s="11"/>
    </row>
    <row r="8" spans="1:15">
      <c r="A8" s="2">
        <v>81663</v>
      </c>
      <c r="B8" s="2" t="s">
        <v>10</v>
      </c>
      <c r="C8" s="2" t="s">
        <v>6</v>
      </c>
      <c r="D8" s="2" t="s">
        <v>128</v>
      </c>
      <c r="E8" s="7" t="s">
        <v>1219</v>
      </c>
      <c r="F8" s="3" t="str">
        <f>HYPERLINK("https://stat100.ameba.jp/tnk47/ratio20/illustrations/card/ill_81663_tokuhime03.jpg", "■")</f>
        <v>■</v>
      </c>
      <c r="G8" s="2" t="s">
        <v>846</v>
      </c>
      <c r="H8" s="2" t="s">
        <v>64</v>
      </c>
      <c r="I8" s="2" t="s">
        <v>126</v>
      </c>
      <c r="J8" s="2">
        <v>7</v>
      </c>
      <c r="K8" s="2">
        <v>14554</v>
      </c>
      <c r="L8" s="2">
        <v>12101</v>
      </c>
      <c r="M8" s="2" t="s">
        <v>686</v>
      </c>
      <c r="N8" s="2" t="s">
        <v>301</v>
      </c>
      <c r="O8" s="11"/>
    </row>
    <row r="9" spans="1:15">
      <c r="A9" s="2">
        <v>81683</v>
      </c>
      <c r="B9" s="2" t="s">
        <v>13</v>
      </c>
      <c r="C9" s="2" t="s">
        <v>221</v>
      </c>
      <c r="D9" s="2" t="s">
        <v>128</v>
      </c>
      <c r="E9" s="7" t="s">
        <v>1220</v>
      </c>
      <c r="F9" s="3" t="str">
        <f>HYPERLINK("https://stat100.ameba.jp/tnk47/ratio20/illustrations/card/ill_81683_komahime03.jpg", "■")</f>
        <v>■</v>
      </c>
      <c r="G9" s="2" t="s">
        <v>697</v>
      </c>
      <c r="H9" s="2" t="s">
        <v>122</v>
      </c>
      <c r="I9" s="2" t="s">
        <v>693</v>
      </c>
      <c r="J9" s="2">
        <v>5</v>
      </c>
      <c r="K9" s="2">
        <v>6294</v>
      </c>
      <c r="L9" s="2">
        <v>5286</v>
      </c>
      <c r="M9" s="2" t="s">
        <v>687</v>
      </c>
      <c r="N9" s="2" t="s">
        <v>112</v>
      </c>
      <c r="O9" s="11"/>
    </row>
    <row r="10" spans="1:15">
      <c r="A10" s="2">
        <v>81693</v>
      </c>
      <c r="B10" s="2" t="s">
        <v>13</v>
      </c>
      <c r="C10" s="2" t="s">
        <v>338</v>
      </c>
      <c r="D10" s="2" t="s">
        <v>53</v>
      </c>
      <c r="E10" s="7" t="s">
        <v>1221</v>
      </c>
      <c r="F10" s="3" t="str">
        <f>HYPERLINK("https://stat100.ameba.jp/tnk47/ratio20/illustrations/card/ill_81693_anajakodon03.jpg", "■")</f>
        <v>■</v>
      </c>
      <c r="G10" s="2" t="s">
        <v>694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688</v>
      </c>
      <c r="N10" s="2" t="s">
        <v>689</v>
      </c>
      <c r="O10" s="11"/>
    </row>
    <row r="11" spans="1:15">
      <c r="A11" s="2">
        <v>81703</v>
      </c>
      <c r="B11" s="2" t="s">
        <v>13</v>
      </c>
      <c r="C11" s="2" t="s">
        <v>690</v>
      </c>
      <c r="D11" s="2" t="s">
        <v>7</v>
      </c>
      <c r="E11" s="7" t="s">
        <v>1222</v>
      </c>
      <c r="F11" s="3" t="str">
        <f>HYPERLINK("https://stat100.ameba.jp/tnk47/ratio20/illustrations/card/ill_81703_nenekogappa03.jpg", "■")</f>
        <v>■</v>
      </c>
      <c r="G11" s="2" t="s">
        <v>695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691</v>
      </c>
      <c r="N11" s="2" t="s">
        <v>692</v>
      </c>
      <c r="O11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21FD-79DE-4686-8AB0-57F484D1CF17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0.9140625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68533</v>
      </c>
      <c r="B3" s="2" t="s">
        <v>726</v>
      </c>
      <c r="C3" s="2" t="s">
        <v>95</v>
      </c>
      <c r="D3" s="2" t="s">
        <v>93</v>
      </c>
      <c r="E3" s="7" t="s">
        <v>1084</v>
      </c>
      <c r="F3" s="3" t="str">
        <f>HYPERLINK("https://stat100.ameba.jp/tnk47/ratio20/illustrations/card/ill_68533_toroiseki03.jpg", "■")</f>
        <v>■</v>
      </c>
      <c r="G3" s="2" t="s">
        <v>327</v>
      </c>
      <c r="H3" s="2" t="s">
        <v>326</v>
      </c>
      <c r="I3" s="2" t="s">
        <v>735</v>
      </c>
      <c r="J3" s="2">
        <v>11</v>
      </c>
      <c r="K3" s="2">
        <v>46757</v>
      </c>
      <c r="L3" s="2">
        <v>43467</v>
      </c>
      <c r="M3" s="2" t="s">
        <v>328</v>
      </c>
      <c r="N3" s="2" t="s">
        <v>972</v>
      </c>
      <c r="O3" s="11" t="s">
        <v>1516</v>
      </c>
    </row>
    <row r="4" spans="1:15">
      <c r="A4" s="2">
        <v>67883</v>
      </c>
      <c r="B4" s="2" t="s">
        <v>726</v>
      </c>
      <c r="C4" s="2" t="s">
        <v>2</v>
      </c>
      <c r="D4" s="2" t="s">
        <v>90</v>
      </c>
      <c r="E4" s="7" t="s">
        <v>1085</v>
      </c>
      <c r="F4" s="3" t="str">
        <f>HYPERLINK("https://stat100.ameba.jp/tnk47/ratio20/illustrations/card/ill_67883_kessenkorinokuninotogibanashi03.jpg", "■")</f>
        <v>■</v>
      </c>
      <c r="G4" s="2" t="s">
        <v>343</v>
      </c>
      <c r="I4" s="2" t="s">
        <v>311</v>
      </c>
      <c r="J4" s="2">
        <v>9</v>
      </c>
      <c r="K4" s="2">
        <v>39035</v>
      </c>
      <c r="L4" s="2">
        <v>41775</v>
      </c>
      <c r="M4" s="2" t="s">
        <v>329</v>
      </c>
      <c r="N4" s="2" t="s">
        <v>973</v>
      </c>
      <c r="O4" s="11"/>
    </row>
    <row r="5" spans="1:15">
      <c r="A5" s="2">
        <v>67861</v>
      </c>
      <c r="B5" s="2" t="s">
        <v>4</v>
      </c>
      <c r="C5" s="2" t="s">
        <v>5</v>
      </c>
      <c r="D5" s="2" t="s">
        <v>90</v>
      </c>
      <c r="E5" s="7" t="s">
        <v>1086</v>
      </c>
      <c r="F5" s="3" t="str">
        <f>HYPERLINK("https://stat100.ameba.jp/tnk47/ratio20/illustrations/card/ill_67861_korinokuninotogibanashipurinsesu01.jpg", "■")</f>
        <v>■</v>
      </c>
      <c r="G5" s="2" t="s">
        <v>344</v>
      </c>
      <c r="H5" s="2" t="s">
        <v>247</v>
      </c>
      <c r="J5" s="2">
        <v>9</v>
      </c>
      <c r="K5" s="2">
        <v>15390</v>
      </c>
      <c r="L5" s="2">
        <v>17100</v>
      </c>
      <c r="M5" s="2" t="s">
        <v>330</v>
      </c>
      <c r="N5" s="2" t="s">
        <v>974</v>
      </c>
      <c r="O5" s="11"/>
    </row>
    <row r="6" spans="1:15">
      <c r="A6" s="2">
        <v>67871</v>
      </c>
      <c r="B6" s="2" t="s">
        <v>4</v>
      </c>
      <c r="C6" s="2" t="s">
        <v>0</v>
      </c>
      <c r="D6" s="2" t="s">
        <v>90</v>
      </c>
      <c r="E6" s="7" t="s">
        <v>1087</v>
      </c>
      <c r="F6" s="3" t="str">
        <f>HYPERLINK("https://stat100.ameba.jp/tnk47/ratio20/illustrations/card/ill_67871_korinokuninotogibanashikuin01.jpg", "■")</f>
        <v>■</v>
      </c>
      <c r="G6" s="2" t="s">
        <v>345</v>
      </c>
      <c r="H6" s="2" t="s">
        <v>249</v>
      </c>
      <c r="J6" s="2">
        <v>9</v>
      </c>
      <c r="K6" s="2">
        <v>15390</v>
      </c>
      <c r="L6" s="2">
        <v>17100</v>
      </c>
      <c r="M6" s="2" t="s">
        <v>331</v>
      </c>
      <c r="N6" s="2" t="s">
        <v>975</v>
      </c>
      <c r="O6" s="11"/>
    </row>
    <row r="7" spans="1:15">
      <c r="A7" s="2">
        <v>68543</v>
      </c>
      <c r="B7" s="2" t="s">
        <v>4</v>
      </c>
      <c r="C7" s="2" t="s">
        <v>12</v>
      </c>
      <c r="D7" s="2" t="s">
        <v>93</v>
      </c>
      <c r="E7" s="7" t="s">
        <v>1088</v>
      </c>
      <c r="F7" s="3" t="str">
        <f>HYPERLINK("https://stat100.ameba.jp/tnk47/ratio20/illustrations/card/ill_68543_yoshinogariiseki03.jpg", "■")</f>
        <v>■</v>
      </c>
      <c r="G7" s="2" t="s">
        <v>346</v>
      </c>
      <c r="H7" s="2" t="s">
        <v>313</v>
      </c>
      <c r="I7" s="2" t="s">
        <v>314</v>
      </c>
      <c r="J7" s="2">
        <v>8</v>
      </c>
      <c r="K7" s="2">
        <v>24195</v>
      </c>
      <c r="L7" s="2">
        <v>26676</v>
      </c>
      <c r="M7" s="2" t="s">
        <v>332</v>
      </c>
      <c r="N7" s="2" t="s">
        <v>976</v>
      </c>
      <c r="O7" s="11"/>
    </row>
    <row r="8" spans="1:15">
      <c r="A8" s="2">
        <v>68553</v>
      </c>
      <c r="B8" s="2" t="s">
        <v>4</v>
      </c>
      <c r="C8" s="2" t="s">
        <v>103</v>
      </c>
      <c r="D8" s="2" t="s">
        <v>93</v>
      </c>
      <c r="E8" s="7" t="s">
        <v>1089</v>
      </c>
      <c r="F8" s="3" t="str">
        <f>HYPERLINK("https://stat100.ameba.jp/tnk47/ratio20/illustrations/card/ill_68553_kannonyamakofun03.jpg", "■")</f>
        <v>■</v>
      </c>
      <c r="G8" s="2" t="s">
        <v>347</v>
      </c>
      <c r="H8" s="2" t="s">
        <v>18</v>
      </c>
      <c r="I8" s="2" t="s">
        <v>82</v>
      </c>
      <c r="J8" s="2">
        <v>9</v>
      </c>
      <c r="K8" s="2">
        <v>26676</v>
      </c>
      <c r="L8" s="2">
        <v>24195</v>
      </c>
      <c r="M8" s="2" t="s">
        <v>333</v>
      </c>
      <c r="N8" s="2" t="s">
        <v>977</v>
      </c>
      <c r="O8" s="11" t="s">
        <v>1535</v>
      </c>
    </row>
    <row r="9" spans="1:15">
      <c r="A9" s="2">
        <v>68573</v>
      </c>
      <c r="B9" s="2" t="s">
        <v>10</v>
      </c>
      <c r="C9" s="2" t="s">
        <v>138</v>
      </c>
      <c r="D9" s="2" t="s">
        <v>93</v>
      </c>
      <c r="E9" s="7" t="s">
        <v>1090</v>
      </c>
      <c r="F9" s="3" t="str">
        <f>HYPERLINK("https://stat100.ameba.jp/tnk47/ratio20/illustrations/card/ill_68573_tomogashima03.jpg", "■")</f>
        <v>■</v>
      </c>
      <c r="G9" s="2" t="s">
        <v>348</v>
      </c>
      <c r="H9" s="2" t="s">
        <v>19</v>
      </c>
      <c r="I9" s="2" t="s">
        <v>83</v>
      </c>
      <c r="J9" s="2">
        <v>11</v>
      </c>
      <c r="K9" s="2">
        <v>19016</v>
      </c>
      <c r="L9" s="2">
        <v>22871</v>
      </c>
      <c r="M9" s="2" t="s">
        <v>334</v>
      </c>
      <c r="N9" s="2" t="s">
        <v>335</v>
      </c>
      <c r="O9" s="11"/>
    </row>
    <row r="10" spans="1:15">
      <c r="A10" s="2">
        <v>68563</v>
      </c>
      <c r="B10" s="2" t="s">
        <v>10</v>
      </c>
      <c r="C10" s="2" t="s">
        <v>98</v>
      </c>
      <c r="D10" s="2" t="s">
        <v>93</v>
      </c>
      <c r="E10" s="7" t="s">
        <v>1091</v>
      </c>
      <c r="F10" s="3" t="str">
        <f>HYPERLINK("https://stat100.ameba.jp/tnk47/ratio20/illustrations/card/ill_68563_enjieraito03.jpg", "■")</f>
        <v>■</v>
      </c>
      <c r="G10" s="2" t="s">
        <v>349</v>
      </c>
      <c r="H10" s="2" t="s">
        <v>64</v>
      </c>
      <c r="I10" s="2" t="s">
        <v>65</v>
      </c>
      <c r="J10" s="2">
        <v>7</v>
      </c>
      <c r="K10" s="2">
        <v>14554</v>
      </c>
      <c r="L10" s="2">
        <v>12101</v>
      </c>
      <c r="M10" s="2" t="s">
        <v>336</v>
      </c>
      <c r="N10" s="2" t="s">
        <v>185</v>
      </c>
      <c r="O10" s="11"/>
    </row>
    <row r="11" spans="1:15">
      <c r="A11" s="2">
        <v>68583</v>
      </c>
      <c r="B11" s="2" t="s">
        <v>13</v>
      </c>
      <c r="C11" s="2" t="s">
        <v>299</v>
      </c>
      <c r="D11" s="2" t="s">
        <v>93</v>
      </c>
      <c r="E11" s="7" t="s">
        <v>1092</v>
      </c>
      <c r="F11" s="3" t="str">
        <f>HYPERLINK("https://stat100.ameba.jp/tnk47/ratio20/illustrations/card/ill_68583_awaken03.jpg", "■")</f>
        <v>■</v>
      </c>
      <c r="G11" s="2" t="s">
        <v>350</v>
      </c>
      <c r="H11" s="2" t="s">
        <v>122</v>
      </c>
      <c r="I11" s="2" t="s">
        <v>733</v>
      </c>
      <c r="J11" s="2">
        <v>5</v>
      </c>
      <c r="K11" s="2">
        <v>5286</v>
      </c>
      <c r="L11" s="2">
        <v>6294</v>
      </c>
      <c r="M11" s="2" t="s">
        <v>337</v>
      </c>
      <c r="N11" s="2" t="s">
        <v>14</v>
      </c>
      <c r="O11" s="11"/>
    </row>
    <row r="12" spans="1:15">
      <c r="A12" s="2">
        <v>68593</v>
      </c>
      <c r="B12" s="2" t="s">
        <v>13</v>
      </c>
      <c r="C12" s="2" t="s">
        <v>338</v>
      </c>
      <c r="D12" s="2" t="s">
        <v>1</v>
      </c>
      <c r="E12" s="7" t="s">
        <v>1093</v>
      </c>
      <c r="F12" s="3" t="str">
        <f>HYPERLINK("https://stat100.ameba.jp/tnk47/ratio20/illustrations/card/ill_68593_ura03.jpg", "■")</f>
        <v>■</v>
      </c>
      <c r="G12" s="2" t="s">
        <v>351</v>
      </c>
      <c r="H12" s="2" t="s">
        <v>122</v>
      </c>
      <c r="I12" s="2" t="s">
        <v>733</v>
      </c>
      <c r="J12" s="2">
        <v>10</v>
      </c>
      <c r="K12" s="2">
        <v>12588</v>
      </c>
      <c r="L12" s="2">
        <v>10572</v>
      </c>
      <c r="M12" s="2" t="s">
        <v>339</v>
      </c>
      <c r="N12" s="2" t="s">
        <v>120</v>
      </c>
      <c r="O12" s="11"/>
    </row>
    <row r="13" spans="1:15">
      <c r="A13" s="2">
        <v>68603</v>
      </c>
      <c r="B13" s="2" t="s">
        <v>13</v>
      </c>
      <c r="C13" s="2" t="s">
        <v>340</v>
      </c>
      <c r="D13" s="2" t="s">
        <v>33</v>
      </c>
      <c r="E13" s="7" t="s">
        <v>1094</v>
      </c>
      <c r="F13" s="3" t="str">
        <f>HYPERLINK("https://stat100.ameba.jp/tnk47/ratio20/illustrations/card/ill_68603_hojosagamisama03.jpg", "■")</f>
        <v>■</v>
      </c>
      <c r="G13" s="2" t="s">
        <v>352</v>
      </c>
      <c r="H13" s="2" t="s">
        <v>122</v>
      </c>
      <c r="I13" s="2" t="s">
        <v>733</v>
      </c>
      <c r="J13" s="2">
        <v>10</v>
      </c>
      <c r="K13" s="2">
        <v>10572</v>
      </c>
      <c r="L13" s="2">
        <v>12588</v>
      </c>
      <c r="M13" s="2" t="s">
        <v>341</v>
      </c>
      <c r="N13" s="2" t="s">
        <v>342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DE9A1-796E-4845-8F97-50F8D18FC6E4}">
  <dimension ref="A1:O18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 t="s">
        <v>1549</v>
      </c>
      <c r="E3" s="3"/>
      <c r="F3" s="3"/>
    </row>
    <row r="4" spans="1:15">
      <c r="E4" s="3"/>
      <c r="F4" s="3"/>
    </row>
    <row r="5" spans="1:15">
      <c r="A5" s="2">
        <v>82273</v>
      </c>
      <c r="B5" s="2" t="s">
        <v>727</v>
      </c>
      <c r="C5" s="2" t="s">
        <v>92</v>
      </c>
      <c r="D5" s="2" t="s">
        <v>3</v>
      </c>
      <c r="E5" s="7" t="s">
        <v>1204</v>
      </c>
      <c r="F5" s="3" t="str">
        <f>HYPERLINK("https://stat100.ameba.jp/tnk47/ratio20/illustrations/card/ill_82273_tanabatatoyamaburakku03.jpg", "■")</f>
        <v>■</v>
      </c>
      <c r="G5" s="2" t="s">
        <v>734</v>
      </c>
      <c r="H5" s="2" t="s">
        <v>586</v>
      </c>
      <c r="I5" s="2" t="s">
        <v>587</v>
      </c>
      <c r="J5" s="2">
        <v>12</v>
      </c>
      <c r="K5" s="2">
        <v>59308</v>
      </c>
      <c r="L5" s="2">
        <v>55143</v>
      </c>
      <c r="M5" s="2" t="s">
        <v>707</v>
      </c>
      <c r="N5" s="2" t="s">
        <v>39</v>
      </c>
      <c r="O5" s="11" t="s">
        <v>1533</v>
      </c>
    </row>
    <row r="6" spans="1:15">
      <c r="A6" s="2">
        <v>82355</v>
      </c>
      <c r="B6" s="2" t="s">
        <v>727</v>
      </c>
      <c r="C6" s="2" t="s">
        <v>551</v>
      </c>
      <c r="D6" s="2" t="s">
        <v>3</v>
      </c>
      <c r="E6" s="7" t="s">
        <v>1205</v>
      </c>
      <c r="F6" s="3" t="str">
        <f>HYPERLINK("https://stat100.ameba.jp/tnk47/ratio20/illustrations/card/ill_82355_tonkotsuramen05.jpg", "■")</f>
        <v>■</v>
      </c>
      <c r="G6" s="2" t="s">
        <v>858</v>
      </c>
      <c r="H6" s="2" t="s">
        <v>544</v>
      </c>
      <c r="I6" s="2" t="s">
        <v>723</v>
      </c>
      <c r="J6" s="2">
        <v>9</v>
      </c>
      <c r="K6" s="2">
        <v>44523</v>
      </c>
      <c r="L6" s="2">
        <v>32239</v>
      </c>
      <c r="M6" s="2" t="s">
        <v>708</v>
      </c>
      <c r="N6" s="2" t="s">
        <v>1032</v>
      </c>
      <c r="O6" s="11"/>
    </row>
    <row r="7" spans="1:15">
      <c r="A7" s="2">
        <v>82283</v>
      </c>
      <c r="B7" s="2" t="s">
        <v>4</v>
      </c>
      <c r="C7" s="2" t="s">
        <v>557</v>
      </c>
      <c r="D7" s="2" t="s">
        <v>3</v>
      </c>
      <c r="E7" s="7" t="s">
        <v>1206</v>
      </c>
      <c r="F7" s="3" t="str">
        <f>HYPERLINK("https://stat100.ameba.jp/tnk47/ratio20/illustrations/card/ill_82283_uranaishioribuchan03.jpg", "■")</f>
        <v>■</v>
      </c>
      <c r="G7" s="2" t="s">
        <v>731</v>
      </c>
      <c r="H7" s="2" t="s">
        <v>448</v>
      </c>
      <c r="I7" s="2" t="s">
        <v>732</v>
      </c>
      <c r="J7" s="2">
        <v>9</v>
      </c>
      <c r="K7" s="2">
        <v>24195</v>
      </c>
      <c r="L7" s="2">
        <v>26676</v>
      </c>
      <c r="M7" s="2" t="s">
        <v>709</v>
      </c>
      <c r="N7" s="2" t="s">
        <v>991</v>
      </c>
      <c r="O7" s="16" t="s">
        <v>2025</v>
      </c>
    </row>
    <row r="8" spans="1:15">
      <c r="A8" s="2">
        <v>82293</v>
      </c>
      <c r="B8" s="2" t="s">
        <v>4</v>
      </c>
      <c r="C8" s="2" t="s">
        <v>49</v>
      </c>
      <c r="D8" s="2" t="s">
        <v>3</v>
      </c>
      <c r="E8" s="7" t="s">
        <v>1207</v>
      </c>
      <c r="F8" s="3" t="str">
        <f>HYPERLINK("https://stat100.ameba.jp/tnk47/ratio20/illustrations/card/ill_82293_taiwanramen03.jpg", "■")</f>
        <v>■</v>
      </c>
      <c r="G8" s="2" t="s">
        <v>730</v>
      </c>
      <c r="H8" s="2" t="s">
        <v>35</v>
      </c>
      <c r="I8" s="2" t="s">
        <v>623</v>
      </c>
      <c r="J8" s="2">
        <v>9</v>
      </c>
      <c r="K8" s="2">
        <v>26676</v>
      </c>
      <c r="L8" s="2">
        <v>24195</v>
      </c>
      <c r="M8" s="2" t="s">
        <v>710</v>
      </c>
      <c r="N8" s="2" t="s">
        <v>1054</v>
      </c>
      <c r="O8" s="11" t="s">
        <v>1533</v>
      </c>
    </row>
    <row r="9" spans="1:15">
      <c r="A9" s="2">
        <v>82313</v>
      </c>
      <c r="B9" s="2" t="s">
        <v>10</v>
      </c>
      <c r="C9" s="2" t="s">
        <v>32</v>
      </c>
      <c r="D9" s="2" t="s">
        <v>3</v>
      </c>
      <c r="E9" s="7" t="s">
        <v>1208</v>
      </c>
      <c r="F9" s="3" t="str">
        <f>HYPERLINK("https://stat100.ameba.jp/tnk47/ratio20/illustrations/card/ill_82313_seizaperoperokyandeichan03.jpg", "■")</f>
        <v>■</v>
      </c>
      <c r="G9" s="2" t="s">
        <v>717</v>
      </c>
      <c r="H9" s="2" t="s">
        <v>19</v>
      </c>
      <c r="I9" s="2" t="s">
        <v>83</v>
      </c>
      <c r="J9" s="2">
        <v>11</v>
      </c>
      <c r="K9" s="2">
        <v>22871</v>
      </c>
      <c r="L9" s="2">
        <v>19016</v>
      </c>
      <c r="M9" s="2" t="s">
        <v>711</v>
      </c>
      <c r="N9" s="2" t="s">
        <v>1055</v>
      </c>
      <c r="O9" s="11"/>
    </row>
    <row r="10" spans="1:15">
      <c r="A10" s="2">
        <v>82303</v>
      </c>
      <c r="B10" s="2" t="s">
        <v>10</v>
      </c>
      <c r="C10" s="2" t="s">
        <v>42</v>
      </c>
      <c r="D10" s="2" t="s">
        <v>3</v>
      </c>
      <c r="E10" s="7" t="s">
        <v>1209</v>
      </c>
      <c r="F10" s="3" t="str">
        <f>HYPERLINK("https://stat100.ameba.jp/tnk47/ratio20/illustrations/card/ill_82303_ishikarinabechan03.jpg", "■")</f>
        <v>■</v>
      </c>
      <c r="G10" s="2" t="s">
        <v>728</v>
      </c>
      <c r="H10" s="2" t="s">
        <v>64</v>
      </c>
      <c r="I10" s="2" t="s">
        <v>729</v>
      </c>
      <c r="J10" s="2">
        <v>7</v>
      </c>
      <c r="K10" s="2">
        <v>12101</v>
      </c>
      <c r="L10" s="2">
        <v>14554</v>
      </c>
      <c r="M10" s="2" t="s">
        <v>712</v>
      </c>
      <c r="N10" s="2" t="s">
        <v>51</v>
      </c>
      <c r="O10" s="11"/>
    </row>
    <row r="11" spans="1:15">
      <c r="A11" s="2">
        <v>82323</v>
      </c>
      <c r="B11" s="2" t="s">
        <v>13</v>
      </c>
      <c r="C11" s="2" t="s">
        <v>704</v>
      </c>
      <c r="D11" s="2" t="s">
        <v>3</v>
      </c>
      <c r="E11" s="7" t="s">
        <v>1210</v>
      </c>
      <c r="F11" s="3" t="str">
        <f>HYPERLINK("https://stat100.ameba.jp/tnk47/ratio20/illustrations/card/ill_82323_suikachan03.jpg", "■")</f>
        <v>■</v>
      </c>
      <c r="G11" s="2" t="s">
        <v>720</v>
      </c>
      <c r="H11" s="2" t="s">
        <v>122</v>
      </c>
      <c r="I11" s="2" t="s">
        <v>121</v>
      </c>
      <c r="J11" s="2">
        <v>5</v>
      </c>
      <c r="K11" s="2">
        <v>5286</v>
      </c>
      <c r="L11" s="2">
        <v>6294</v>
      </c>
      <c r="M11" s="2" t="s">
        <v>713</v>
      </c>
      <c r="N11" s="2" t="s">
        <v>689</v>
      </c>
      <c r="O11" s="11"/>
    </row>
    <row r="12" spans="1:15">
      <c r="A12" s="2">
        <v>82333</v>
      </c>
      <c r="B12" s="2" t="s">
        <v>13</v>
      </c>
      <c r="C12" s="2" t="s">
        <v>705</v>
      </c>
      <c r="D12" s="2" t="s">
        <v>1</v>
      </c>
      <c r="E12" s="7" t="s">
        <v>1211</v>
      </c>
      <c r="F12" s="3" t="str">
        <f>HYPERLINK("https://stat100.ameba.jp/tnk47/ratio20/illustrations/card/ill_82333_seizaazabunooneko03.jpg", "■")</f>
        <v>■</v>
      </c>
      <c r="G12" s="2" t="s">
        <v>718</v>
      </c>
      <c r="H12" s="2" t="s">
        <v>122</v>
      </c>
      <c r="I12" s="2" t="s">
        <v>123</v>
      </c>
      <c r="J12" s="2">
        <v>10</v>
      </c>
      <c r="K12" s="2">
        <v>12588</v>
      </c>
      <c r="L12" s="2">
        <v>10572</v>
      </c>
      <c r="M12" s="2" t="s">
        <v>714</v>
      </c>
      <c r="N12" s="2" t="s">
        <v>120</v>
      </c>
      <c r="O12" s="11"/>
    </row>
    <row r="13" spans="1:15">
      <c r="A13" s="2">
        <v>82343</v>
      </c>
      <c r="B13" s="2" t="s">
        <v>13</v>
      </c>
      <c r="C13" s="2" t="s">
        <v>706</v>
      </c>
      <c r="D13" s="2" t="s">
        <v>40</v>
      </c>
      <c r="E13" s="7" t="s">
        <v>1212</v>
      </c>
      <c r="F13" s="3" t="str">
        <f>HYPERLINK("https://stat100.ameba.jp/tnk47/ratio20/illustrations/card/ill_82343_kengogamoujisato03.jpg", "■")</f>
        <v>■</v>
      </c>
      <c r="G13" s="2" t="s">
        <v>719</v>
      </c>
      <c r="H13" s="2" t="s">
        <v>122</v>
      </c>
      <c r="I13" s="2" t="s">
        <v>123</v>
      </c>
      <c r="J13" s="2">
        <v>10</v>
      </c>
      <c r="K13" s="2">
        <v>10572</v>
      </c>
      <c r="L13" s="2">
        <v>12588</v>
      </c>
      <c r="M13" s="2" t="s">
        <v>715</v>
      </c>
      <c r="N13" s="2" t="s">
        <v>716</v>
      </c>
      <c r="O13" s="11"/>
    </row>
    <row r="15" spans="1:15">
      <c r="A15" s="2" t="s">
        <v>1817</v>
      </c>
    </row>
    <row r="16" spans="1:15">
      <c r="A16" s="2">
        <v>64893</v>
      </c>
      <c r="B16" s="2" t="s">
        <v>726</v>
      </c>
      <c r="C16" s="2" t="s">
        <v>42</v>
      </c>
      <c r="D16" s="2" t="s">
        <v>40</v>
      </c>
      <c r="E16" s="7" t="s">
        <v>1161</v>
      </c>
      <c r="F16" s="3" t="str">
        <f>HYPERLINK("https://stat100.ameba.jp/tnk47/ratio20/illustrations/card/ill_64893_yukataonamihime03.jpg", "■")</f>
        <v>■</v>
      </c>
      <c r="G16" s="2" t="s">
        <v>919</v>
      </c>
      <c r="J16" s="2">
        <v>14</v>
      </c>
      <c r="K16" s="2" t="s">
        <v>920</v>
      </c>
      <c r="L16" s="2" t="s">
        <v>920</v>
      </c>
      <c r="M16" s="2" t="s">
        <v>921</v>
      </c>
      <c r="N16" s="2" t="s">
        <v>1365</v>
      </c>
    </row>
    <row r="17" spans="1:14">
      <c r="A17" s="2">
        <v>51893</v>
      </c>
      <c r="B17" s="2" t="s">
        <v>726</v>
      </c>
      <c r="C17" s="2" t="s">
        <v>634</v>
      </c>
      <c r="D17" s="2" t="s">
        <v>33</v>
      </c>
      <c r="E17" s="7" t="s">
        <v>1162</v>
      </c>
      <c r="F17" s="3" t="str">
        <f>HYPERLINK("https://stat100.ameba.jp/tnk47/ratio20/illustrations/card/ill_51893_kemonomizugitakachihonomine03.jpg", "■")</f>
        <v>■</v>
      </c>
      <c r="G17" s="2" t="s">
        <v>922</v>
      </c>
      <c r="H17" s="2" t="s">
        <v>926</v>
      </c>
      <c r="I17" s="2" t="s">
        <v>856</v>
      </c>
      <c r="J17" s="2">
        <v>14</v>
      </c>
      <c r="K17" s="2" t="s">
        <v>920</v>
      </c>
      <c r="L17" s="2" t="s">
        <v>920</v>
      </c>
      <c r="M17" s="2" t="s">
        <v>923</v>
      </c>
      <c r="N17" s="2" t="s">
        <v>1366</v>
      </c>
    </row>
    <row r="18" spans="1:14">
      <c r="A18" s="2">
        <v>82443</v>
      </c>
      <c r="B18" s="2" t="s">
        <v>10</v>
      </c>
      <c r="C18" s="2" t="s">
        <v>12</v>
      </c>
      <c r="D18" s="2" t="s">
        <v>93</v>
      </c>
      <c r="E18" s="7" t="s">
        <v>1213</v>
      </c>
      <c r="F18" s="3" t="str">
        <f>HYPERLINK("https://stat100.ameba.jp/tnk47/ratio20/illustrations/card/ill_82443_ryukyubinkata03.jpg", "■")</f>
        <v>■</v>
      </c>
      <c r="G18" s="2" t="s">
        <v>930</v>
      </c>
      <c r="J18" s="2">
        <v>14</v>
      </c>
      <c r="K18" s="2" t="s">
        <v>920</v>
      </c>
      <c r="L18" s="2" t="s">
        <v>920</v>
      </c>
      <c r="M18" s="2" t="s">
        <v>931</v>
      </c>
      <c r="N18" s="2" t="s">
        <v>335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9C94-509B-4719-9502-6BC41201790E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82813</v>
      </c>
      <c r="B3" s="2" t="s">
        <v>726</v>
      </c>
      <c r="C3" s="2" t="s">
        <v>2</v>
      </c>
      <c r="D3" s="2" t="s">
        <v>1</v>
      </c>
      <c r="E3" s="7" t="s">
        <v>1194</v>
      </c>
      <c r="F3" s="3" t="str">
        <f>HYPERLINK("https://stat100.ameba.jp/tnk47/ratio20/illustrations/card/ill_82813_kyofunobyotoumizato03.jpg", "■")</f>
        <v>■</v>
      </c>
      <c r="G3" s="2" t="s">
        <v>746</v>
      </c>
      <c r="H3" s="2" t="s">
        <v>787</v>
      </c>
      <c r="I3" s="2" t="s">
        <v>856</v>
      </c>
      <c r="J3" s="2">
        <v>12</v>
      </c>
      <c r="K3" s="2">
        <v>48655</v>
      </c>
      <c r="L3" s="2">
        <v>52319</v>
      </c>
      <c r="M3" s="2" t="s">
        <v>739</v>
      </c>
      <c r="N3" s="2" t="s">
        <v>740</v>
      </c>
      <c r="O3" s="11" t="s">
        <v>1530</v>
      </c>
    </row>
    <row r="4" spans="1:15">
      <c r="A4" s="2">
        <v>82895</v>
      </c>
      <c r="B4" s="2" t="s">
        <v>726</v>
      </c>
      <c r="C4" s="2" t="s">
        <v>527</v>
      </c>
      <c r="D4" s="2" t="s">
        <v>1</v>
      </c>
      <c r="E4" s="7" t="s">
        <v>1195</v>
      </c>
      <c r="F4" s="3" t="str">
        <f>HYPERLINK("https://stat100.ameba.jp/tnk47/ratio20/illustrations/card/ill_82895_koroka05.jpg", "■")</f>
        <v>■</v>
      </c>
      <c r="G4" s="2" t="s">
        <v>742</v>
      </c>
      <c r="H4" s="2" t="s">
        <v>621</v>
      </c>
      <c r="I4" s="2" t="s">
        <v>781</v>
      </c>
      <c r="J4" s="2">
        <v>9</v>
      </c>
      <c r="K4" s="2">
        <v>39209</v>
      </c>
      <c r="L4" s="2">
        <v>28394</v>
      </c>
      <c r="M4" s="2" t="s">
        <v>743</v>
      </c>
      <c r="N4" s="2" t="s">
        <v>744</v>
      </c>
      <c r="O4" s="11"/>
    </row>
    <row r="5" spans="1:15">
      <c r="A5" s="2">
        <v>82823</v>
      </c>
      <c r="B5" s="2" t="s">
        <v>4</v>
      </c>
      <c r="C5" s="2" t="s">
        <v>599</v>
      </c>
      <c r="D5" s="2" t="s">
        <v>1</v>
      </c>
      <c r="E5" s="7" t="s">
        <v>1196</v>
      </c>
      <c r="F5" s="3" t="str">
        <f>HYPERLINK("https://stat100.ameba.jp/tnk47/ratio20/illustrations/card/ill_82823_ryoranyukizukainarinobyakko03.jpg", "■")</f>
        <v>■</v>
      </c>
      <c r="G5" s="2" t="s">
        <v>745</v>
      </c>
      <c r="H5" s="2" t="s">
        <v>518</v>
      </c>
      <c r="I5" s="2" t="s">
        <v>629</v>
      </c>
      <c r="J5" s="2">
        <v>9</v>
      </c>
      <c r="K5" s="2">
        <v>26676</v>
      </c>
      <c r="L5" s="2">
        <v>24195</v>
      </c>
      <c r="M5" s="2" t="s">
        <v>764</v>
      </c>
      <c r="N5" s="2" t="s">
        <v>765</v>
      </c>
      <c r="O5" s="16" t="s">
        <v>2025</v>
      </c>
    </row>
    <row r="6" spans="1:15">
      <c r="A6" s="2">
        <v>82833</v>
      </c>
      <c r="B6" s="2" t="s">
        <v>4</v>
      </c>
      <c r="C6" s="2" t="s">
        <v>634</v>
      </c>
      <c r="D6" s="2" t="s">
        <v>1</v>
      </c>
      <c r="E6" s="7" t="s">
        <v>1197</v>
      </c>
      <c r="F6" s="3" t="str">
        <f>HYPERLINK("https://stat100.ameba.jp/tnk47/ratio20/illustrations/card/ill_82833_yuwakuyamahime03.jpg", "■")</f>
        <v>■</v>
      </c>
      <c r="G6" s="2" t="s">
        <v>747</v>
      </c>
      <c r="H6" s="2" t="s">
        <v>250</v>
      </c>
      <c r="I6" s="2" t="s">
        <v>458</v>
      </c>
      <c r="J6" s="2">
        <v>9</v>
      </c>
      <c r="K6" s="2">
        <v>24195</v>
      </c>
      <c r="L6" s="2">
        <v>26676</v>
      </c>
      <c r="M6" s="2" t="s">
        <v>760</v>
      </c>
      <c r="N6" s="2" t="s">
        <v>761</v>
      </c>
      <c r="O6" s="11" t="s">
        <v>1533</v>
      </c>
    </row>
    <row r="7" spans="1:15">
      <c r="A7" s="2">
        <v>82853</v>
      </c>
      <c r="B7" s="2" t="s">
        <v>10</v>
      </c>
      <c r="C7" s="2" t="s">
        <v>598</v>
      </c>
      <c r="D7" s="2" t="s">
        <v>1</v>
      </c>
      <c r="E7" s="7" t="s">
        <v>1198</v>
      </c>
      <c r="F7" s="3" t="str">
        <f>HYPERLINK("https://stat100.ameba.jp/tnk47/ratio20/illustrations/card/ill_82853_umionna03.jpg", "■")</f>
        <v>■</v>
      </c>
      <c r="G7" s="2" t="s">
        <v>748</v>
      </c>
      <c r="H7" s="2" t="s">
        <v>19</v>
      </c>
      <c r="I7" s="2" t="s">
        <v>83</v>
      </c>
      <c r="J7" s="2">
        <v>11</v>
      </c>
      <c r="K7" s="2">
        <v>19016</v>
      </c>
      <c r="L7" s="2">
        <v>22871</v>
      </c>
      <c r="M7" s="2" t="s">
        <v>762</v>
      </c>
      <c r="N7" s="2" t="s">
        <v>763</v>
      </c>
      <c r="O7" s="11"/>
    </row>
    <row r="8" spans="1:15">
      <c r="A8" s="2">
        <v>82843</v>
      </c>
      <c r="B8" s="2" t="s">
        <v>10</v>
      </c>
      <c r="C8" s="2" t="s">
        <v>49</v>
      </c>
      <c r="D8" s="2" t="s">
        <v>1</v>
      </c>
      <c r="E8" s="7" t="s">
        <v>1199</v>
      </c>
      <c r="F8" s="3" t="str">
        <f>HYPERLINK("https://stat100.ameba.jp/tnk47/ratio20/illustrations/card/ill_82843_susukechochin03.jpg", "■")</f>
        <v>■</v>
      </c>
      <c r="G8" s="2" t="s">
        <v>750</v>
      </c>
      <c r="H8" s="2" t="s">
        <v>515</v>
      </c>
      <c r="I8" s="2" t="s">
        <v>516</v>
      </c>
      <c r="J8" s="2">
        <v>7</v>
      </c>
      <c r="K8" s="2">
        <v>14554</v>
      </c>
      <c r="L8" s="2">
        <v>12101</v>
      </c>
      <c r="M8" s="2" t="s">
        <v>758</v>
      </c>
      <c r="N8" s="2" t="s">
        <v>759</v>
      </c>
      <c r="O8" s="11"/>
    </row>
    <row r="9" spans="1:15">
      <c r="A9" s="2">
        <v>82863</v>
      </c>
      <c r="B9" s="2" t="s">
        <v>13</v>
      </c>
      <c r="C9" s="2" t="s">
        <v>555</v>
      </c>
      <c r="D9" s="2" t="s">
        <v>1</v>
      </c>
      <c r="E9" s="7" t="s">
        <v>1200</v>
      </c>
      <c r="F9" s="3" t="str">
        <f>HYPERLINK("https://stat100.ameba.jp/tnk47/ratio20/illustrations/card/ill_82863_okiku03.jpg", "■")</f>
        <v>■</v>
      </c>
      <c r="G9" s="2" t="s">
        <v>749</v>
      </c>
      <c r="H9" s="2" t="s">
        <v>122</v>
      </c>
      <c r="I9" s="2" t="s">
        <v>121</v>
      </c>
      <c r="J9" s="2">
        <v>5</v>
      </c>
      <c r="K9" s="2">
        <v>6294</v>
      </c>
      <c r="L9" s="2">
        <v>5286</v>
      </c>
      <c r="M9" s="2" t="s">
        <v>756</v>
      </c>
      <c r="N9" s="2" t="s">
        <v>757</v>
      </c>
      <c r="O9" s="11"/>
    </row>
    <row r="10" spans="1:15">
      <c r="A10" s="2">
        <v>82873</v>
      </c>
      <c r="B10" s="2" t="s">
        <v>13</v>
      </c>
      <c r="C10" s="2" t="s">
        <v>741</v>
      </c>
      <c r="D10" s="2" t="s">
        <v>33</v>
      </c>
      <c r="E10" s="7" t="s">
        <v>1201</v>
      </c>
      <c r="F10" s="3" t="str">
        <f>HYPERLINK("https://stat100.ameba.jp/tnk47/ratio20/illustrations/card/ill_82873_koakumarurukoshimpu03.jpg", "■")</f>
        <v>■</v>
      </c>
      <c r="G10" s="2" t="s">
        <v>751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754</v>
      </c>
      <c r="N10" s="2" t="s">
        <v>755</v>
      </c>
      <c r="O10" s="11"/>
    </row>
    <row r="11" spans="1:15">
      <c r="A11" s="2">
        <v>82883</v>
      </c>
      <c r="B11" s="2" t="s">
        <v>13</v>
      </c>
      <c r="C11" s="2" t="s">
        <v>705</v>
      </c>
      <c r="D11" s="2" t="s">
        <v>3</v>
      </c>
      <c r="E11" s="7" t="s">
        <v>1202</v>
      </c>
      <c r="F11" s="3" t="str">
        <f>HYPERLINK("https://stat100.ameba.jp/tnk47/ratio20/illustrations/card/ill_82883_monsutamashumarochan03.jpg", "■")</f>
        <v>■</v>
      </c>
      <c r="G11" s="2" t="s">
        <v>766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752</v>
      </c>
      <c r="N11" s="2" t="s">
        <v>753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82983</v>
      </c>
      <c r="B16" s="2" t="s">
        <v>10</v>
      </c>
      <c r="C16" s="2" t="s">
        <v>42</v>
      </c>
      <c r="D16" s="2" t="s">
        <v>33</v>
      </c>
      <c r="E16" s="7" t="s">
        <v>1203</v>
      </c>
      <c r="F16" s="3" t="str">
        <f>HYPERLINK("https://stat100.ameba.jp/tnk47/ratio20/illustrations/card/ill_82983_natsumatsuriryokusogame03.jpg", "■")</f>
        <v>■</v>
      </c>
      <c r="G16" s="2" t="s">
        <v>928</v>
      </c>
      <c r="H16" s="2" t="s">
        <v>926</v>
      </c>
      <c r="I16" s="2" t="s">
        <v>927</v>
      </c>
      <c r="J16" s="2">
        <v>14</v>
      </c>
      <c r="K16" s="2" t="s">
        <v>920</v>
      </c>
      <c r="L16" s="2" t="s">
        <v>920</v>
      </c>
      <c r="M16" s="2" t="s">
        <v>929</v>
      </c>
      <c r="N16" s="2" t="s">
        <v>534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CDD74-C07D-42C1-A48D-A38E59684869}">
  <dimension ref="A1:O18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 t="s">
        <v>1548</v>
      </c>
      <c r="E3" s="3"/>
      <c r="F3" s="3"/>
    </row>
    <row r="4" spans="1:15">
      <c r="E4" s="3"/>
      <c r="F4" s="3"/>
    </row>
    <row r="5" spans="1:15">
      <c r="A5" s="2">
        <v>83403</v>
      </c>
      <c r="B5" s="2" t="s">
        <v>726</v>
      </c>
      <c r="C5" s="2" t="s">
        <v>92</v>
      </c>
      <c r="D5" s="2" t="s">
        <v>40</v>
      </c>
      <c r="E5" s="7" t="s">
        <v>1184</v>
      </c>
      <c r="F5" s="3" t="str">
        <f>HYPERLINK("https://stat100.ameba.jp/tnk47/ratio20/illustrations/card/ill_83403_yuenchihazadosoyoshitoshi03.jpg", "■")</f>
        <v>■</v>
      </c>
      <c r="G5" s="2" t="s">
        <v>793</v>
      </c>
      <c r="H5" s="2" t="s">
        <v>786</v>
      </c>
      <c r="I5" s="2" t="s">
        <v>945</v>
      </c>
      <c r="J5" s="2">
        <v>15</v>
      </c>
      <c r="K5" s="2">
        <v>86761</v>
      </c>
      <c r="L5" s="2">
        <v>93315</v>
      </c>
      <c r="M5" s="2" t="s">
        <v>770</v>
      </c>
      <c r="N5" s="2" t="s">
        <v>1056</v>
      </c>
      <c r="O5" s="11" t="s">
        <v>2029</v>
      </c>
    </row>
    <row r="6" spans="1:15">
      <c r="A6" s="2">
        <v>83485</v>
      </c>
      <c r="B6" s="2" t="s">
        <v>727</v>
      </c>
      <c r="C6" s="2" t="s">
        <v>551</v>
      </c>
      <c r="D6" s="2" t="s">
        <v>40</v>
      </c>
      <c r="E6" s="7" t="s">
        <v>1185</v>
      </c>
      <c r="F6" s="3" t="str">
        <f>HYPERLINK("https://stat100.ameba.jp/tnk47/ratio20/illustrations/card/ill_83485_senninzukaashikagayoshiteru05.jpg", "■")</f>
        <v>■</v>
      </c>
      <c r="G6" s="2" t="s">
        <v>792</v>
      </c>
      <c r="H6" s="2" t="s">
        <v>544</v>
      </c>
      <c r="I6" s="2" t="s">
        <v>723</v>
      </c>
      <c r="J6" s="2">
        <v>9</v>
      </c>
      <c r="K6" s="2">
        <v>56115</v>
      </c>
      <c r="L6" s="2">
        <v>40630</v>
      </c>
      <c r="M6" s="2" t="s">
        <v>771</v>
      </c>
      <c r="N6" s="2" t="s">
        <v>1057</v>
      </c>
      <c r="O6" s="11"/>
    </row>
    <row r="7" spans="1:15">
      <c r="A7" s="2">
        <v>83413</v>
      </c>
      <c r="B7" s="2" t="s">
        <v>4</v>
      </c>
      <c r="C7" s="2" t="s">
        <v>32</v>
      </c>
      <c r="D7" s="2" t="s">
        <v>40</v>
      </c>
      <c r="E7" s="7" t="s">
        <v>1186</v>
      </c>
      <c r="F7" s="3" t="str">
        <f>HYPERLINK("https://stat100.ameba.jp/tnk47/ratio20/illustrations/card/ill_83413_viranzutoyotomihideyori03.jpg", "■")</f>
        <v>■</v>
      </c>
      <c r="G7" s="2" t="s">
        <v>791</v>
      </c>
      <c r="H7" s="2" t="s">
        <v>788</v>
      </c>
      <c r="I7" s="2" t="s">
        <v>944</v>
      </c>
      <c r="J7" s="2">
        <v>9</v>
      </c>
      <c r="K7" s="2">
        <v>26676</v>
      </c>
      <c r="L7" s="2">
        <v>24195</v>
      </c>
      <c r="M7" s="2" t="s">
        <v>774</v>
      </c>
      <c r="N7" s="2" t="s">
        <v>1058</v>
      </c>
      <c r="O7" s="11"/>
    </row>
    <row r="8" spans="1:15">
      <c r="A8" s="2">
        <v>83423</v>
      </c>
      <c r="B8" s="2" t="s">
        <v>4</v>
      </c>
      <c r="C8" s="2" t="s">
        <v>42</v>
      </c>
      <c r="D8" s="2" t="s">
        <v>40</v>
      </c>
      <c r="E8" s="7" t="s">
        <v>1187</v>
      </c>
      <c r="F8" s="3" t="str">
        <f>HYPERLINK("https://stat100.ameba.jp/tnk47/ratio20/illustrations/card/ill_83423_onikirishunakanotakeko03.jpg", "■")</f>
        <v>■</v>
      </c>
      <c r="G8" s="2" t="s">
        <v>790</v>
      </c>
      <c r="H8" s="2" t="s">
        <v>250</v>
      </c>
      <c r="I8" s="2" t="s">
        <v>458</v>
      </c>
      <c r="J8" s="2">
        <v>9</v>
      </c>
      <c r="K8" s="2">
        <v>24195</v>
      </c>
      <c r="L8" s="2">
        <v>26676</v>
      </c>
      <c r="M8" s="2" t="s">
        <v>772</v>
      </c>
      <c r="N8" s="2" t="s">
        <v>1059</v>
      </c>
      <c r="O8" s="2" t="s">
        <v>1820</v>
      </c>
    </row>
    <row r="9" spans="1:15">
      <c r="A9" s="2">
        <v>83443</v>
      </c>
      <c r="B9" s="2" t="s">
        <v>10</v>
      </c>
      <c r="C9" s="2" t="s">
        <v>599</v>
      </c>
      <c r="D9" s="2" t="s">
        <v>40</v>
      </c>
      <c r="E9" s="7" t="s">
        <v>1188</v>
      </c>
      <c r="F9" s="3" t="str">
        <f>HYPERLINK("https://stat100.ameba.jp/tnk47/ratio20/illustrations/card/ill_83443_baikuhojosadatoki03.jpg", "■")</f>
        <v>■</v>
      </c>
      <c r="G9" s="2" t="s">
        <v>785</v>
      </c>
      <c r="H9" s="2" t="s">
        <v>19</v>
      </c>
      <c r="I9" s="2" t="s">
        <v>83</v>
      </c>
      <c r="J9" s="2">
        <v>11</v>
      </c>
      <c r="K9" s="2">
        <v>19016</v>
      </c>
      <c r="L9" s="2">
        <v>22871</v>
      </c>
      <c r="M9" s="2" t="s">
        <v>773</v>
      </c>
      <c r="N9" s="2" t="s">
        <v>1060</v>
      </c>
      <c r="O9" s="11"/>
    </row>
    <row r="10" spans="1:15">
      <c r="A10" s="2">
        <v>83433</v>
      </c>
      <c r="B10" s="2" t="s">
        <v>10</v>
      </c>
      <c r="C10" s="2" t="s">
        <v>49</v>
      </c>
      <c r="D10" s="2" t="s">
        <v>40</v>
      </c>
      <c r="E10" s="7" t="s">
        <v>1189</v>
      </c>
      <c r="F10" s="3" t="str">
        <f>HYPERLINK("https://stat100.ameba.jp/tnk47/ratio20/illustrations/card/ill_83433_bajutsuhangakugozen03.jpg", "■")</f>
        <v>■</v>
      </c>
      <c r="G10" s="2" t="s">
        <v>789</v>
      </c>
      <c r="H10" s="2" t="s">
        <v>64</v>
      </c>
      <c r="I10" s="2" t="s">
        <v>126</v>
      </c>
      <c r="J10" s="2">
        <v>7</v>
      </c>
      <c r="K10" s="2">
        <v>14554</v>
      </c>
      <c r="L10" s="2">
        <v>12101</v>
      </c>
      <c r="M10" s="2" t="s">
        <v>775</v>
      </c>
      <c r="N10" s="2" t="s">
        <v>213</v>
      </c>
      <c r="O10" s="11"/>
    </row>
    <row r="11" spans="1:15">
      <c r="A11" s="2">
        <v>83453</v>
      </c>
      <c r="B11" s="2" t="s">
        <v>13</v>
      </c>
      <c r="C11" s="2" t="s">
        <v>767</v>
      </c>
      <c r="D11" s="2" t="s">
        <v>40</v>
      </c>
      <c r="E11" s="7" t="s">
        <v>1190</v>
      </c>
      <c r="F11" s="3" t="str">
        <f>HYPERLINK("https://stat100.ameba.jp/tnk47/ratio20/illustrations/card/ill_83453_tachibanamuneshige03.jpg", "■")</f>
        <v>■</v>
      </c>
      <c r="G11" s="2" t="s">
        <v>784</v>
      </c>
      <c r="H11" s="2" t="s">
        <v>122</v>
      </c>
      <c r="I11" s="2" t="s">
        <v>121</v>
      </c>
      <c r="J11" s="2">
        <v>5</v>
      </c>
      <c r="K11" s="2">
        <v>6294</v>
      </c>
      <c r="L11" s="2">
        <v>5286</v>
      </c>
      <c r="M11" s="2" t="s">
        <v>776</v>
      </c>
      <c r="N11" s="2" t="s">
        <v>72</v>
      </c>
      <c r="O11" s="11"/>
    </row>
    <row r="12" spans="1:15">
      <c r="A12" s="2">
        <v>83463</v>
      </c>
      <c r="B12" s="2" t="s">
        <v>13</v>
      </c>
      <c r="C12" s="2" t="s">
        <v>768</v>
      </c>
      <c r="D12" s="2" t="s">
        <v>638</v>
      </c>
      <c r="E12" s="7" t="s">
        <v>1191</v>
      </c>
      <c r="F12" s="3" t="str">
        <f>HYPERLINK("https://stat100.ameba.jp/tnk47/ratio20/illustrations/card/ill_83463_gishumoninnotango03.jpg", "■")</f>
        <v>■</v>
      </c>
      <c r="G12" s="2" t="s">
        <v>782</v>
      </c>
      <c r="H12" s="2" t="s">
        <v>122</v>
      </c>
      <c r="I12" s="2" t="s">
        <v>123</v>
      </c>
      <c r="J12" s="2">
        <v>10</v>
      </c>
      <c r="K12" s="2">
        <v>10572</v>
      </c>
      <c r="L12" s="2">
        <v>12588</v>
      </c>
      <c r="M12" s="2" t="s">
        <v>777</v>
      </c>
      <c r="N12" s="2" t="s">
        <v>443</v>
      </c>
      <c r="O12" s="11"/>
    </row>
    <row r="13" spans="1:15">
      <c r="A13" s="2">
        <v>83473</v>
      </c>
      <c r="B13" s="2" t="s">
        <v>13</v>
      </c>
      <c r="C13" s="2" t="s">
        <v>769</v>
      </c>
      <c r="D13" s="2" t="s">
        <v>298</v>
      </c>
      <c r="E13" s="7" t="s">
        <v>1192</v>
      </c>
      <c r="F13" s="3" t="str">
        <f>HYPERLINK("https://stat100.ameba.jp/tnk47/ratio20/illustrations/card/ill_83473_sangokushijyukeini03.jpg", "■")</f>
        <v>■</v>
      </c>
      <c r="G13" s="2" t="s">
        <v>783</v>
      </c>
      <c r="H13" s="2" t="s">
        <v>122</v>
      </c>
      <c r="I13" s="2" t="s">
        <v>123</v>
      </c>
      <c r="J13" s="2">
        <v>10</v>
      </c>
      <c r="K13" s="2">
        <v>12588</v>
      </c>
      <c r="L13" s="2">
        <v>10572</v>
      </c>
      <c r="M13" s="2" t="s">
        <v>779</v>
      </c>
      <c r="N13" s="2" t="s">
        <v>778</v>
      </c>
      <c r="O13" s="11"/>
    </row>
    <row r="15" spans="1:15">
      <c r="A15" s="2" t="s">
        <v>1817</v>
      </c>
    </row>
    <row r="16" spans="1:15">
      <c r="A16" s="2">
        <v>64893</v>
      </c>
      <c r="B16" s="2" t="s">
        <v>726</v>
      </c>
      <c r="C16" s="2" t="s">
        <v>42</v>
      </c>
      <c r="D16" s="2" t="s">
        <v>40</v>
      </c>
      <c r="E16" s="7" t="s">
        <v>1161</v>
      </c>
      <c r="F16" s="3" t="str">
        <f>HYPERLINK("https://stat100.ameba.jp/tnk47/ratio20/illustrations/card/ill_64893_yukataonamihime03.jpg", "■")</f>
        <v>■</v>
      </c>
      <c r="G16" s="2" t="s">
        <v>919</v>
      </c>
      <c r="J16" s="2">
        <v>14</v>
      </c>
      <c r="K16" s="2" t="s">
        <v>920</v>
      </c>
      <c r="L16" s="2" t="s">
        <v>920</v>
      </c>
      <c r="M16" s="2" t="s">
        <v>921</v>
      </c>
      <c r="N16" s="2" t="s">
        <v>1365</v>
      </c>
    </row>
    <row r="17" spans="1:14">
      <c r="A17" s="2">
        <v>51893</v>
      </c>
      <c r="B17" s="2" t="s">
        <v>726</v>
      </c>
      <c r="C17" s="2" t="s">
        <v>634</v>
      </c>
      <c r="D17" s="2" t="s">
        <v>33</v>
      </c>
      <c r="E17" s="7" t="s">
        <v>1162</v>
      </c>
      <c r="F17" s="3" t="str">
        <f>HYPERLINK("https://stat100.ameba.jp/tnk47/ratio20/illustrations/card/ill_51893_kemonomizugitakachihonomine03.jpg", "■")</f>
        <v>■</v>
      </c>
      <c r="G17" s="2" t="s">
        <v>922</v>
      </c>
      <c r="J17" s="2">
        <v>14</v>
      </c>
      <c r="K17" s="2" t="s">
        <v>920</v>
      </c>
      <c r="L17" s="2" t="s">
        <v>920</v>
      </c>
      <c r="M17" s="2" t="s">
        <v>923</v>
      </c>
      <c r="N17" s="2" t="s">
        <v>1366</v>
      </c>
    </row>
    <row r="18" spans="1:14">
      <c r="A18" s="2">
        <v>83563</v>
      </c>
      <c r="B18" s="2" t="s">
        <v>10</v>
      </c>
      <c r="C18" s="2" t="s">
        <v>138</v>
      </c>
      <c r="D18" s="2" t="s">
        <v>7</v>
      </c>
      <c r="E18" s="7" t="s">
        <v>1193</v>
      </c>
      <c r="F18" s="3" t="str">
        <f>HYPERLINK("https://stat100.ameba.jp/tnk47/ratio20/illustrations/card/ill_83563_kusabiragami03.jpg", "■")</f>
        <v>■</v>
      </c>
      <c r="G18" s="2" t="s">
        <v>934</v>
      </c>
      <c r="H18" s="2" t="s">
        <v>926</v>
      </c>
      <c r="I18" s="2" t="s">
        <v>927</v>
      </c>
      <c r="J18" s="2">
        <v>14</v>
      </c>
      <c r="K18" s="2" t="s">
        <v>920</v>
      </c>
      <c r="L18" s="2" t="s">
        <v>920</v>
      </c>
      <c r="M18" s="2" t="s">
        <v>935</v>
      </c>
      <c r="N18" s="2" t="s">
        <v>141</v>
      </c>
    </row>
  </sheetData>
  <phoneticPr fontId="1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490D6-DB95-4250-B714-BE516D0A07AE}">
  <dimension ref="A1:O16"/>
  <sheetViews>
    <sheetView zoomScale="55" zoomScaleNormal="55" workbookViewId="0">
      <pane ySplit="1" topLeftCell="A2" activePane="bottomLeft" state="frozen"/>
      <selection activeCell="E1" sqref="E1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84053</v>
      </c>
      <c r="B3" s="2" t="s">
        <v>726</v>
      </c>
      <c r="C3" s="2" t="s">
        <v>92</v>
      </c>
      <c r="D3" s="2" t="s">
        <v>33</v>
      </c>
      <c r="E3" s="7" t="s">
        <v>1174</v>
      </c>
      <c r="F3" s="3" t="str">
        <f>HYPERLINK("https://stat100.ameba.jp/tnk47/ratio20/illustrations/card/ill_84053_yokaitaisenjamegami03.jpg", "■")</f>
        <v>■</v>
      </c>
      <c r="G3" s="2" t="s">
        <v>801</v>
      </c>
      <c r="H3" s="2" t="s">
        <v>817</v>
      </c>
      <c r="I3" s="2" t="s">
        <v>856</v>
      </c>
      <c r="J3" s="2">
        <v>15</v>
      </c>
      <c r="K3" s="2">
        <v>59526</v>
      </c>
      <c r="L3" s="2">
        <v>64032</v>
      </c>
      <c r="M3" s="2" t="s">
        <v>800</v>
      </c>
      <c r="N3" s="2" t="s">
        <v>1061</v>
      </c>
      <c r="O3" s="11" t="s">
        <v>2028</v>
      </c>
    </row>
    <row r="4" spans="1:15">
      <c r="A4" s="2">
        <v>84135</v>
      </c>
      <c r="B4" s="2" t="s">
        <v>726</v>
      </c>
      <c r="C4" s="2" t="s">
        <v>527</v>
      </c>
      <c r="D4" s="2" t="s">
        <v>33</v>
      </c>
      <c r="E4" s="7" t="s">
        <v>1175</v>
      </c>
      <c r="F4" s="3" t="str">
        <f>HYPERLINK("https://stat100.ameba.jp/tnk47/ratio20/illustrations/card/ill_84135_baku05.jpg", "■")</f>
        <v>■</v>
      </c>
      <c r="G4" s="2" t="s">
        <v>798</v>
      </c>
      <c r="H4" s="2" t="s">
        <v>544</v>
      </c>
      <c r="I4" s="2" t="s">
        <v>723</v>
      </c>
      <c r="J4" s="2">
        <v>9</v>
      </c>
      <c r="K4" s="2">
        <v>28437</v>
      </c>
      <c r="L4" s="2">
        <v>37005</v>
      </c>
      <c r="M4" s="2" t="s">
        <v>799</v>
      </c>
      <c r="N4" s="2" t="s">
        <v>1062</v>
      </c>
      <c r="O4" s="11"/>
    </row>
    <row r="5" spans="1:15">
      <c r="A5" s="2">
        <v>84063</v>
      </c>
      <c r="B5" s="2" t="s">
        <v>4</v>
      </c>
      <c r="C5" s="2" t="s">
        <v>42</v>
      </c>
      <c r="D5" s="2" t="s">
        <v>3</v>
      </c>
      <c r="E5" s="7" t="s">
        <v>1176</v>
      </c>
      <c r="F5" s="3" t="str">
        <f>HYPERLINK("https://stat100.ameba.jp/tnk47/ratio20/illustrations/card/ill_84063_makaihowaitochokochan03.jpg", "■")</f>
        <v>■</v>
      </c>
      <c r="G5" s="2" t="s">
        <v>802</v>
      </c>
      <c r="H5" s="2" t="s">
        <v>816</v>
      </c>
      <c r="I5" s="2" t="s">
        <v>818</v>
      </c>
      <c r="J5" s="2">
        <v>9</v>
      </c>
      <c r="K5" s="2">
        <v>26676</v>
      </c>
      <c r="L5" s="2">
        <v>24195</v>
      </c>
      <c r="M5" s="2" t="s">
        <v>809</v>
      </c>
      <c r="N5" s="2" t="s">
        <v>1063</v>
      </c>
      <c r="O5" s="11"/>
    </row>
    <row r="6" spans="1:15">
      <c r="A6" s="2">
        <v>84073</v>
      </c>
      <c r="B6" s="2" t="s">
        <v>4</v>
      </c>
      <c r="C6" s="2" t="s">
        <v>634</v>
      </c>
      <c r="D6" s="2" t="s">
        <v>61</v>
      </c>
      <c r="E6" s="7" t="s">
        <v>1177</v>
      </c>
      <c r="F6" s="3" t="str">
        <f>HYPERLINK("https://stat100.ameba.jp/tnk47/ratio20/illustrations/card/ill_84073_majokkomijigokuchan03.jpg", "■")</f>
        <v>■</v>
      </c>
      <c r="G6" s="2" t="s">
        <v>803</v>
      </c>
      <c r="H6" s="2" t="s">
        <v>250</v>
      </c>
      <c r="I6" s="2" t="s">
        <v>458</v>
      </c>
      <c r="J6" s="2">
        <v>9</v>
      </c>
      <c r="K6" s="2">
        <v>24195</v>
      </c>
      <c r="L6" s="2">
        <v>26676</v>
      </c>
      <c r="M6" s="2" t="s">
        <v>810</v>
      </c>
      <c r="N6" s="2" t="s">
        <v>1064</v>
      </c>
      <c r="O6" s="11" t="s">
        <v>1534</v>
      </c>
    </row>
    <row r="7" spans="1:15">
      <c r="A7" s="2">
        <v>84093</v>
      </c>
      <c r="B7" s="2" t="s">
        <v>10</v>
      </c>
      <c r="C7" s="2" t="s">
        <v>555</v>
      </c>
      <c r="D7" s="2" t="s">
        <v>33</v>
      </c>
      <c r="E7" s="7" t="s">
        <v>1178</v>
      </c>
      <c r="F7" s="3" t="str">
        <f>HYPERLINK("https://stat100.ameba.jp/tnk47/ratio20/illustrations/card/ill_84093_puka03.jpg", "■")</f>
        <v>■</v>
      </c>
      <c r="G7" s="2" t="s">
        <v>804</v>
      </c>
      <c r="H7" s="2" t="s">
        <v>19</v>
      </c>
      <c r="I7" s="2" t="s">
        <v>83</v>
      </c>
      <c r="J7" s="2">
        <v>11</v>
      </c>
      <c r="K7" s="2">
        <v>19016</v>
      </c>
      <c r="L7" s="2">
        <v>22871</v>
      </c>
      <c r="M7" s="2" t="s">
        <v>811</v>
      </c>
      <c r="N7" s="2" t="s">
        <v>1039</v>
      </c>
      <c r="O7" s="11"/>
    </row>
    <row r="8" spans="1:15">
      <c r="A8" s="2">
        <v>84083</v>
      </c>
      <c r="B8" s="2" t="s">
        <v>10</v>
      </c>
      <c r="C8" s="2" t="s">
        <v>555</v>
      </c>
      <c r="D8" s="2" t="s">
        <v>33</v>
      </c>
      <c r="E8" s="7" t="s">
        <v>1179</v>
      </c>
      <c r="F8" s="3" t="str">
        <f>HYPERLINK("https://stat100.ameba.jp/tnk47/ratio20/illustrations/card/ill_84083_pikushi03.jpg", "■")</f>
        <v>■</v>
      </c>
      <c r="G8" s="2" t="s">
        <v>805</v>
      </c>
      <c r="H8" s="2" t="s">
        <v>64</v>
      </c>
      <c r="I8" s="2" t="s">
        <v>126</v>
      </c>
      <c r="J8" s="2">
        <v>7</v>
      </c>
      <c r="K8" s="2">
        <v>14554</v>
      </c>
      <c r="L8" s="2">
        <v>12101</v>
      </c>
      <c r="M8" s="2" t="s">
        <v>812</v>
      </c>
      <c r="N8" s="2" t="s">
        <v>534</v>
      </c>
      <c r="O8" s="11"/>
    </row>
    <row r="9" spans="1:15">
      <c r="A9" s="2">
        <v>84103</v>
      </c>
      <c r="B9" s="2" t="s">
        <v>13</v>
      </c>
      <c r="C9" s="2" t="s">
        <v>555</v>
      </c>
      <c r="D9" s="2" t="s">
        <v>33</v>
      </c>
      <c r="E9" s="7" t="s">
        <v>1180</v>
      </c>
      <c r="F9" s="3" t="str">
        <f>HYPERLINK("https://stat100.ameba.jp/tnk47/ratio20/illustrations/card/ill_84103_tororu03.jpg", "■")</f>
        <v>■</v>
      </c>
      <c r="G9" s="2" t="s">
        <v>806</v>
      </c>
      <c r="H9" s="2" t="s">
        <v>122</v>
      </c>
      <c r="I9" s="2" t="s">
        <v>121</v>
      </c>
      <c r="J9" s="2">
        <v>5</v>
      </c>
      <c r="K9" s="2">
        <v>6294</v>
      </c>
      <c r="L9" s="2">
        <v>5286</v>
      </c>
      <c r="M9" s="2" t="s">
        <v>813</v>
      </c>
      <c r="N9" s="2" t="s">
        <v>310</v>
      </c>
      <c r="O9" s="11"/>
    </row>
    <row r="10" spans="1:15">
      <c r="A10" s="2">
        <v>84113</v>
      </c>
      <c r="B10" s="2" t="s">
        <v>13</v>
      </c>
      <c r="C10" s="2" t="s">
        <v>555</v>
      </c>
      <c r="D10" s="2" t="s">
        <v>61</v>
      </c>
      <c r="E10" s="7" t="s">
        <v>1181</v>
      </c>
      <c r="F10" s="3" t="str">
        <f>HYPERLINK("https://stat100.ameba.jp/tnk47/ratio20/illustrations/card/ill_84113_himebachi03.jpg", "■")</f>
        <v>■</v>
      </c>
      <c r="G10" s="2" t="s">
        <v>807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814</v>
      </c>
      <c r="N10" s="2" t="s">
        <v>443</v>
      </c>
      <c r="O10" s="11"/>
    </row>
    <row r="11" spans="1:15">
      <c r="A11" s="2">
        <v>84123</v>
      </c>
      <c r="B11" s="2" t="s">
        <v>13</v>
      </c>
      <c r="C11" s="2" t="s">
        <v>555</v>
      </c>
      <c r="D11" s="2" t="s">
        <v>40</v>
      </c>
      <c r="E11" s="7" t="s">
        <v>1182</v>
      </c>
      <c r="F11" s="3" t="str">
        <f>HYPERLINK("https://stat100.ameba.jp/tnk47/ratio20/illustrations/card/ill_84123_kyuheichiraun03.jpg", "■")</f>
        <v>■</v>
      </c>
      <c r="G11" s="2" t="s">
        <v>808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815</v>
      </c>
      <c r="N11" s="2" t="s">
        <v>539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84213</v>
      </c>
      <c r="B16" s="2" t="s">
        <v>10</v>
      </c>
      <c r="C16" s="2" t="s">
        <v>42</v>
      </c>
      <c r="D16" s="2" t="s">
        <v>154</v>
      </c>
      <c r="E16" s="7" t="s">
        <v>1183</v>
      </c>
      <c r="F16" s="3" t="str">
        <f>HYPERLINK("https://stat100.ameba.jp/tnk47/ratio20/illustrations/card/ill_84213_kyupiddorurukoshinpu03.jpg", "■")</f>
        <v>■</v>
      </c>
      <c r="G16" s="2" t="s">
        <v>932</v>
      </c>
      <c r="H16" s="2" t="s">
        <v>926</v>
      </c>
      <c r="I16" s="2" t="s">
        <v>927</v>
      </c>
      <c r="J16" s="2">
        <v>14</v>
      </c>
      <c r="K16" s="2" t="s">
        <v>920</v>
      </c>
      <c r="L16" s="2" t="s">
        <v>920</v>
      </c>
      <c r="M16" s="2" t="s">
        <v>933</v>
      </c>
      <c r="N16" s="2" t="s">
        <v>165</v>
      </c>
    </row>
  </sheetData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5942-4C98-4585-B852-440FB69AE392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84773</v>
      </c>
      <c r="B3" s="2" t="s">
        <v>726</v>
      </c>
      <c r="C3" s="2" t="s">
        <v>2</v>
      </c>
      <c r="D3" s="2" t="s">
        <v>638</v>
      </c>
      <c r="E3" s="7" t="s">
        <v>1164</v>
      </c>
      <c r="F3" s="3" t="str">
        <f>HYPERLINK("https://stat100.ameba.jp/tnk47/ratio20/illustrations/card/ill_84773_yukimomijiizumonokuni03.jpg", "■")</f>
        <v>■</v>
      </c>
      <c r="G3" s="2" t="s">
        <v>836</v>
      </c>
      <c r="H3" s="2" t="s">
        <v>833</v>
      </c>
      <c r="I3" s="2" t="s">
        <v>856</v>
      </c>
      <c r="J3" s="2">
        <v>15</v>
      </c>
      <c r="K3" s="2">
        <v>61314</v>
      </c>
      <c r="L3" s="2">
        <v>56992</v>
      </c>
      <c r="M3" s="2" t="s">
        <v>838</v>
      </c>
      <c r="N3" s="2" t="s">
        <v>837</v>
      </c>
      <c r="O3" s="11" t="s">
        <v>2027</v>
      </c>
    </row>
    <row r="4" spans="1:15">
      <c r="A4" s="2">
        <v>84855</v>
      </c>
      <c r="B4" s="2" t="s">
        <v>726</v>
      </c>
      <c r="C4" s="2" t="s">
        <v>551</v>
      </c>
      <c r="D4" s="2" t="s">
        <v>638</v>
      </c>
      <c r="E4" s="7" t="s">
        <v>1165</v>
      </c>
      <c r="F4" s="3" t="str">
        <f>HYPERLINK("https://stat100.ameba.jp/tnk47/ratio20/illustrations/card/ill_84855_saicho05.jpg", "■")</f>
        <v>■</v>
      </c>
      <c r="G4" s="2" t="s">
        <v>835</v>
      </c>
      <c r="H4" s="2" t="s">
        <v>621</v>
      </c>
      <c r="I4" s="2" t="s">
        <v>781</v>
      </c>
      <c r="J4" s="2">
        <v>9</v>
      </c>
      <c r="K4" s="2">
        <v>27435</v>
      </c>
      <c r="L4" s="2">
        <v>37885</v>
      </c>
      <c r="M4" s="2" t="s">
        <v>834</v>
      </c>
      <c r="N4" s="2" t="s">
        <v>995</v>
      </c>
      <c r="O4" s="11"/>
    </row>
    <row r="5" spans="1:15">
      <c r="A5" s="2">
        <v>84783</v>
      </c>
      <c r="B5" s="2" t="s">
        <v>4</v>
      </c>
      <c r="C5" s="2" t="s">
        <v>32</v>
      </c>
      <c r="D5" s="2" t="s">
        <v>638</v>
      </c>
      <c r="E5" s="7" t="s">
        <v>1166</v>
      </c>
      <c r="F5" s="3" t="str">
        <f>HYPERLINK("https://stat100.ameba.jp/tnk47/ratio20/illustrations/card/ill_84783_koakumaashiyadoman03.jpg", "■")</f>
        <v>■</v>
      </c>
      <c r="G5" s="2" t="s">
        <v>831</v>
      </c>
      <c r="H5" s="2" t="s">
        <v>679</v>
      </c>
      <c r="I5" s="2" t="s">
        <v>832</v>
      </c>
      <c r="J5" s="2">
        <v>9</v>
      </c>
      <c r="K5" s="2">
        <v>24195</v>
      </c>
      <c r="L5" s="2">
        <v>26676</v>
      </c>
      <c r="M5" s="2" t="s">
        <v>839</v>
      </c>
      <c r="N5" s="2" t="s">
        <v>1065</v>
      </c>
      <c r="O5" s="11"/>
    </row>
    <row r="6" spans="1:15">
      <c r="A6" s="2">
        <v>84793</v>
      </c>
      <c r="B6" s="2" t="s">
        <v>4</v>
      </c>
      <c r="C6" s="2" t="s">
        <v>634</v>
      </c>
      <c r="D6" s="2" t="s">
        <v>638</v>
      </c>
      <c r="E6" s="7" t="s">
        <v>1167</v>
      </c>
      <c r="F6" s="3" t="str">
        <f>HYPERLINK("https://stat100.ameba.jp/tnk47/ratio20/illustrations/card/ill_84793_magatsuhinokami03.jpg", "■")</f>
        <v>■</v>
      </c>
      <c r="G6" s="2" t="s">
        <v>829</v>
      </c>
      <c r="H6" s="2" t="s">
        <v>250</v>
      </c>
      <c r="I6" s="2" t="s">
        <v>830</v>
      </c>
      <c r="J6" s="2">
        <v>9</v>
      </c>
      <c r="K6" s="2">
        <v>26676</v>
      </c>
      <c r="L6" s="2">
        <v>24195</v>
      </c>
      <c r="M6" s="2" t="s">
        <v>840</v>
      </c>
      <c r="N6" s="2" t="s">
        <v>1014</v>
      </c>
      <c r="O6" s="2" t="s">
        <v>1819</v>
      </c>
    </row>
    <row r="7" spans="1:15">
      <c r="A7" s="2">
        <v>84813</v>
      </c>
      <c r="B7" s="2" t="s">
        <v>10</v>
      </c>
      <c r="C7" s="2" t="s">
        <v>557</v>
      </c>
      <c r="D7" s="2" t="s">
        <v>638</v>
      </c>
      <c r="E7" s="7" t="s">
        <v>1168</v>
      </c>
      <c r="F7" s="3" t="str">
        <f>HYPERLINK("https://stat100.ameba.jp/tnk47/ratio20/illustrations/card/ill_84813_kosumosuakashirejina03.jpg", "■")</f>
        <v>■</v>
      </c>
      <c r="G7" s="2" t="s">
        <v>825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841</v>
      </c>
      <c r="N7" s="2" t="s">
        <v>1066</v>
      </c>
      <c r="O7" s="11"/>
    </row>
    <row r="8" spans="1:15">
      <c r="A8" s="2">
        <v>84803</v>
      </c>
      <c r="B8" s="2" t="s">
        <v>10</v>
      </c>
      <c r="C8" s="2" t="s">
        <v>599</v>
      </c>
      <c r="D8" s="2" t="s">
        <v>638</v>
      </c>
      <c r="E8" s="7" t="s">
        <v>1169</v>
      </c>
      <c r="F8" s="3" t="str">
        <f>HYPERLINK("https://stat100.ameba.jp/tnk47/ratio20/illustrations/card/ill_84803_katsukaisyuu03.jpg", "■")</f>
        <v>■</v>
      </c>
      <c r="G8" s="2" t="s">
        <v>828</v>
      </c>
      <c r="H8" s="2" t="s">
        <v>64</v>
      </c>
      <c r="I8" s="2" t="s">
        <v>126</v>
      </c>
      <c r="J8" s="2">
        <v>7</v>
      </c>
      <c r="K8" s="2">
        <v>12101</v>
      </c>
      <c r="L8" s="2">
        <v>14554</v>
      </c>
      <c r="M8" s="2" t="s">
        <v>842</v>
      </c>
      <c r="N8" s="2" t="s">
        <v>187</v>
      </c>
      <c r="O8" s="11"/>
    </row>
    <row r="9" spans="1:15">
      <c r="A9" s="2">
        <v>84823</v>
      </c>
      <c r="B9" s="2" t="s">
        <v>13</v>
      </c>
      <c r="C9" s="2" t="s">
        <v>821</v>
      </c>
      <c r="D9" s="2" t="s">
        <v>638</v>
      </c>
      <c r="E9" s="7" t="s">
        <v>1170</v>
      </c>
      <c r="F9" s="3" t="str">
        <f>HYPERLINK("https://stat100.ameba.jp/tnk47/ratio20/illustrations/card/ill_84823_nihonshinwamatsuobasho03.jpg", "■")</f>
        <v>■</v>
      </c>
      <c r="G9" s="2" t="s">
        <v>827</v>
      </c>
      <c r="H9" s="2" t="s">
        <v>122</v>
      </c>
      <c r="I9" s="2" t="s">
        <v>121</v>
      </c>
      <c r="J9" s="2">
        <v>5</v>
      </c>
      <c r="K9" s="2">
        <v>5286</v>
      </c>
      <c r="L9" s="2">
        <v>6294</v>
      </c>
      <c r="M9" s="2" t="s">
        <v>843</v>
      </c>
      <c r="N9" s="2" t="s">
        <v>145</v>
      </c>
      <c r="O9" s="11"/>
    </row>
    <row r="10" spans="1:15">
      <c r="A10" s="2">
        <v>84833</v>
      </c>
      <c r="B10" s="2" t="s">
        <v>13</v>
      </c>
      <c r="C10" s="2" t="s">
        <v>822</v>
      </c>
      <c r="D10" s="2" t="s">
        <v>297</v>
      </c>
      <c r="E10" s="7" t="s">
        <v>1171</v>
      </c>
      <c r="F10" s="3" t="str">
        <f>HYPERLINK("https://stat100.ameba.jp/tnk47/ratio20/illustrations/card/ill_84833_yukinoukokuinugashiranomitamanokami03.jpg", "■")</f>
        <v>■</v>
      </c>
      <c r="G10" s="2" t="s">
        <v>824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844</v>
      </c>
      <c r="N10" s="2" t="s">
        <v>112</v>
      </c>
      <c r="O10" s="11"/>
    </row>
    <row r="11" spans="1:15">
      <c r="A11" s="2">
        <v>84843</v>
      </c>
      <c r="B11" s="2" t="s">
        <v>13</v>
      </c>
      <c r="C11" s="2" t="s">
        <v>823</v>
      </c>
      <c r="D11" s="2" t="s">
        <v>440</v>
      </c>
      <c r="E11" s="7" t="s">
        <v>1172</v>
      </c>
      <c r="F11" s="3" t="str">
        <f>HYPERLINK("https://stat100.ameba.jp/tnk47/ratio20/illustrations/card/ill_84843_sekkiashikagaujihime03.jpg", "■")</f>
        <v>■</v>
      </c>
      <c r="G11" s="2" t="s">
        <v>826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845</v>
      </c>
      <c r="N11" s="2" t="s">
        <v>716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84933</v>
      </c>
      <c r="B16" s="2" t="s">
        <v>10</v>
      </c>
      <c r="C16" s="2" t="s">
        <v>49</v>
      </c>
      <c r="D16" s="2" t="s">
        <v>440</v>
      </c>
      <c r="E16" s="7" t="s">
        <v>1173</v>
      </c>
      <c r="F16" s="3" t="str">
        <f>HYPERLINK("https://stat100.ameba.jp/tnk47/ratio20/illustrations/card/ill_84933_seitaiin03.jpg", "■")</f>
        <v>■</v>
      </c>
      <c r="G16" s="2" t="s">
        <v>936</v>
      </c>
      <c r="H16" s="2" t="s">
        <v>926</v>
      </c>
      <c r="I16" s="2" t="s">
        <v>927</v>
      </c>
      <c r="J16" s="2">
        <v>14</v>
      </c>
      <c r="K16" s="2" t="s">
        <v>920</v>
      </c>
      <c r="L16" s="2" t="s">
        <v>920</v>
      </c>
      <c r="M16" s="2" t="s">
        <v>937</v>
      </c>
      <c r="N16" s="2" t="s">
        <v>301</v>
      </c>
    </row>
  </sheetData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FCB8-BC6C-47DD-90A5-EEE06CBC4757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85373</v>
      </c>
      <c r="B3" s="2" t="s">
        <v>726</v>
      </c>
      <c r="C3" s="2" t="s">
        <v>2</v>
      </c>
      <c r="D3" s="2" t="s">
        <v>297</v>
      </c>
      <c r="E3" s="7" t="s">
        <v>1152</v>
      </c>
      <c r="F3" s="3" t="str">
        <f>HYPERLINK("https://stat100.ameba.jp/tnk47/ratio20/illustrations/card/ill_85373_kurisumasuohitokagehana03.jpg", "■")</f>
        <v>■</v>
      </c>
      <c r="G3" s="2" t="s">
        <v>1270</v>
      </c>
      <c r="H3" s="2" t="s">
        <v>1484</v>
      </c>
      <c r="I3" s="2" t="s">
        <v>856</v>
      </c>
      <c r="J3" s="2">
        <v>15</v>
      </c>
      <c r="K3" s="2">
        <v>71521</v>
      </c>
      <c r="L3" s="2">
        <v>66484</v>
      </c>
      <c r="M3" s="2" t="s">
        <v>860</v>
      </c>
      <c r="N3" s="2" t="s">
        <v>1067</v>
      </c>
      <c r="O3" s="11" t="s">
        <v>1529</v>
      </c>
    </row>
    <row r="4" spans="1:15">
      <c r="A4" s="2">
        <v>85455</v>
      </c>
      <c r="B4" s="2" t="s">
        <v>726</v>
      </c>
      <c r="C4" s="2" t="s">
        <v>527</v>
      </c>
      <c r="D4" s="2" t="s">
        <v>33</v>
      </c>
      <c r="E4" s="7" t="s">
        <v>1153</v>
      </c>
      <c r="F4" s="3" t="str">
        <f>HYPERLINK("https://stat100.ameba.jp/tnk47/ratio20/illustrations/card/ill_85455_okikurumi05.jpg", "■")</f>
        <v>■</v>
      </c>
      <c r="G4" s="2" t="s">
        <v>1269</v>
      </c>
      <c r="H4" s="2" t="s">
        <v>621</v>
      </c>
      <c r="I4" s="2" t="s">
        <v>781</v>
      </c>
      <c r="J4" s="2">
        <v>9</v>
      </c>
      <c r="K4" s="2">
        <v>37005</v>
      </c>
      <c r="L4" s="2">
        <v>28437</v>
      </c>
      <c r="M4" s="2" t="s">
        <v>861</v>
      </c>
      <c r="N4" s="2" t="s">
        <v>1068</v>
      </c>
      <c r="O4" s="11"/>
    </row>
    <row r="5" spans="1:15">
      <c r="A5" s="2">
        <v>85383</v>
      </c>
      <c r="B5" s="2" t="s">
        <v>4</v>
      </c>
      <c r="C5" s="2" t="s">
        <v>42</v>
      </c>
      <c r="D5" s="2" t="s">
        <v>297</v>
      </c>
      <c r="E5" s="7" t="s">
        <v>1154</v>
      </c>
      <c r="F5" s="3" t="str">
        <f>HYPERLINK("https://stat100.ameba.jp/tnk47/ratio20/illustrations/card/ill_85383_genjusodehagi03.jpg", "■")</f>
        <v>■</v>
      </c>
      <c r="G5" s="2" t="s">
        <v>1268</v>
      </c>
      <c r="H5" s="2" t="s">
        <v>875</v>
      </c>
      <c r="I5" s="2" t="s">
        <v>1384</v>
      </c>
      <c r="J5" s="2">
        <v>9</v>
      </c>
      <c r="K5" s="2">
        <v>24195</v>
      </c>
      <c r="L5" s="2">
        <v>26676</v>
      </c>
      <c r="M5" s="2" t="s">
        <v>862</v>
      </c>
      <c r="N5" s="2" t="s">
        <v>1069</v>
      </c>
      <c r="O5" s="11" t="s">
        <v>1529</v>
      </c>
    </row>
    <row r="6" spans="1:15">
      <c r="A6" s="2">
        <v>85393</v>
      </c>
      <c r="B6" s="2" t="s">
        <v>4</v>
      </c>
      <c r="C6" s="2" t="s">
        <v>557</v>
      </c>
      <c r="D6" s="2" t="s">
        <v>297</v>
      </c>
      <c r="E6" s="7" t="s">
        <v>1155</v>
      </c>
      <c r="F6" s="3" t="str">
        <f>HYPERLINK("https://stat100.ameba.jp/tnk47/ratio20/illustrations/card/ill_85393_xmasmomotarou03.jpg", "■")</f>
        <v>■</v>
      </c>
      <c r="G6" s="2" t="s">
        <v>1271</v>
      </c>
      <c r="H6" s="2" t="s">
        <v>250</v>
      </c>
      <c r="I6" s="2" t="s">
        <v>830</v>
      </c>
      <c r="J6" s="2">
        <v>9</v>
      </c>
      <c r="K6" s="2">
        <v>26676</v>
      </c>
      <c r="L6" s="2">
        <v>24195</v>
      </c>
      <c r="M6" s="2" t="s">
        <v>863</v>
      </c>
      <c r="N6" s="2" t="s">
        <v>1070</v>
      </c>
      <c r="O6" s="11"/>
    </row>
    <row r="7" spans="1:15">
      <c r="A7" s="2">
        <v>85413</v>
      </c>
      <c r="B7" s="2" t="s">
        <v>10</v>
      </c>
      <c r="C7" s="2" t="s">
        <v>634</v>
      </c>
      <c r="D7" s="2" t="s">
        <v>297</v>
      </c>
      <c r="E7" s="7" t="s">
        <v>1156</v>
      </c>
      <c r="F7" s="3" t="str">
        <f>HYPERLINK("https://stat100.ameba.jp/tnk47/ratio20/illustrations/card/ill_85413_xmasmamuya03.jpg", "■")</f>
        <v>■</v>
      </c>
      <c r="G7" s="2" t="s">
        <v>873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864</v>
      </c>
      <c r="N7" s="2" t="s">
        <v>1071</v>
      </c>
      <c r="O7" s="11"/>
    </row>
    <row r="8" spans="1:15">
      <c r="A8" s="2">
        <v>85403</v>
      </c>
      <c r="B8" s="2" t="s">
        <v>10</v>
      </c>
      <c r="C8" s="2" t="s">
        <v>599</v>
      </c>
      <c r="D8" s="2" t="s">
        <v>297</v>
      </c>
      <c r="E8" s="7" t="s">
        <v>1157</v>
      </c>
      <c r="F8" s="3" t="str">
        <f>HYPERLINK("https://stat100.ameba.jp/tnk47/ratio20/illustrations/card/ill_85403_bumpukuchagamaoshosama03.jpg", "■")</f>
        <v>■</v>
      </c>
      <c r="G8" s="2" t="s">
        <v>874</v>
      </c>
      <c r="H8" s="2" t="s">
        <v>64</v>
      </c>
      <c r="I8" s="2" t="s">
        <v>126</v>
      </c>
      <c r="J8" s="2">
        <v>7</v>
      </c>
      <c r="K8" s="2">
        <v>12101</v>
      </c>
      <c r="L8" s="2">
        <v>14554</v>
      </c>
      <c r="M8" s="2" t="s">
        <v>866</v>
      </c>
      <c r="N8" s="2" t="s">
        <v>865</v>
      </c>
      <c r="O8" s="11"/>
    </row>
    <row r="9" spans="1:15">
      <c r="A9" s="2">
        <v>85423</v>
      </c>
      <c r="B9" s="2" t="s">
        <v>13</v>
      </c>
      <c r="C9" s="2" t="s">
        <v>60</v>
      </c>
      <c r="D9" s="2" t="s">
        <v>297</v>
      </c>
      <c r="E9" s="7" t="s">
        <v>1158</v>
      </c>
      <c r="F9" s="3" t="str">
        <f>HYPERLINK("https://stat100.ameba.jp/tnk47/ratio20/illustrations/card/ill_85423_kasajizo03.jpg", "■")</f>
        <v>■</v>
      </c>
      <c r="G9" s="2" t="s">
        <v>872</v>
      </c>
      <c r="H9" s="2" t="s">
        <v>122</v>
      </c>
      <c r="I9" s="2" t="s">
        <v>121</v>
      </c>
      <c r="J9" s="2">
        <v>5</v>
      </c>
      <c r="K9" s="2">
        <v>5286</v>
      </c>
      <c r="L9" s="2">
        <v>6294</v>
      </c>
      <c r="M9" s="2" t="s">
        <v>867</v>
      </c>
      <c r="N9" s="2" t="s">
        <v>108</v>
      </c>
      <c r="O9" s="11"/>
    </row>
    <row r="10" spans="1:15">
      <c r="A10" s="2">
        <v>85433</v>
      </c>
      <c r="B10" s="2" t="s">
        <v>13</v>
      </c>
      <c r="C10" s="2" t="s">
        <v>555</v>
      </c>
      <c r="D10" s="2" t="s">
        <v>61</v>
      </c>
      <c r="E10" s="7" t="s">
        <v>1159</v>
      </c>
      <c r="F10" s="3" t="str">
        <f>HYPERLINK("https://stat100.ameba.jp/tnk47/ratio20/illustrations/card/ill_85433_akutonakai03.jpg", "■")</f>
        <v>■</v>
      </c>
      <c r="G10" s="2" t="s">
        <v>870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868</v>
      </c>
      <c r="N10" s="2" t="s">
        <v>63</v>
      </c>
      <c r="O10" s="11"/>
    </row>
    <row r="11" spans="1:15">
      <c r="A11" s="2">
        <v>85443</v>
      </c>
      <c r="B11" s="2" t="s">
        <v>13</v>
      </c>
      <c r="C11" s="2" t="s">
        <v>859</v>
      </c>
      <c r="D11" s="2" t="s">
        <v>440</v>
      </c>
      <c r="E11" s="7" t="s">
        <v>1160</v>
      </c>
      <c r="F11" s="3" t="str">
        <f>HYPERLINK("https://stat100.ameba.jp/tnk47/ratio20/illustrations/card/ill_85443_aokishifuyuhime03.jpg", "■")</f>
        <v>■</v>
      </c>
      <c r="G11" s="2" t="s">
        <v>871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869</v>
      </c>
      <c r="N11" s="2" t="s">
        <v>716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85533</v>
      </c>
      <c r="B16" s="2" t="s">
        <v>10</v>
      </c>
      <c r="C16" s="2" t="s">
        <v>634</v>
      </c>
      <c r="D16" s="2" t="s">
        <v>3</v>
      </c>
      <c r="E16" s="7" t="s">
        <v>1163</v>
      </c>
      <c r="F16" s="3" t="str">
        <f>HYPERLINK("https://stat100.ameba.jp/tnk47/ratio20/illustrations/card/ill_85533_kurisumasukasuterachan03.jpg", "■")</f>
        <v>■</v>
      </c>
      <c r="G16" s="2" t="s">
        <v>938</v>
      </c>
      <c r="H16" s="2" t="s">
        <v>926</v>
      </c>
      <c r="I16" s="2" t="s">
        <v>927</v>
      </c>
      <c r="J16" s="2">
        <v>14</v>
      </c>
      <c r="K16" s="2" t="s">
        <v>920</v>
      </c>
      <c r="L16" s="2" t="s">
        <v>920</v>
      </c>
      <c r="M16" s="2" t="s">
        <v>939</v>
      </c>
      <c r="N16" s="2" t="s">
        <v>940</v>
      </c>
    </row>
  </sheetData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B0DDE-FC83-46BF-A99D-111B59B6EE76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86123</v>
      </c>
      <c r="B3" s="2" t="s">
        <v>726</v>
      </c>
      <c r="C3" s="2" t="s">
        <v>2</v>
      </c>
      <c r="D3" s="2" t="s">
        <v>298</v>
      </c>
      <c r="E3" s="7" t="s">
        <v>1272</v>
      </c>
      <c r="F3" s="3" t="str">
        <f>HYPERLINK("https://stat100.ameba.jp/tnk47/ratio20/illustrations/card/ill_86123_hagoitataisenoginoginko03.jpg", "■")</f>
        <v>■</v>
      </c>
      <c r="G3" s="2" t="s">
        <v>894</v>
      </c>
      <c r="H3" s="2" t="s">
        <v>893</v>
      </c>
      <c r="I3" s="2" t="s">
        <v>856</v>
      </c>
      <c r="J3" s="2">
        <v>15</v>
      </c>
      <c r="K3" s="2">
        <v>63653</v>
      </c>
      <c r="L3" s="2">
        <v>59218</v>
      </c>
      <c r="M3" s="2" t="s">
        <v>878</v>
      </c>
      <c r="N3" s="2" t="s">
        <v>1072</v>
      </c>
      <c r="O3" s="2" t="s">
        <v>2021</v>
      </c>
    </row>
    <row r="4" spans="1:15">
      <c r="A4" s="2">
        <v>86205</v>
      </c>
      <c r="B4" s="2" t="s">
        <v>726</v>
      </c>
      <c r="C4" s="2" t="s">
        <v>877</v>
      </c>
      <c r="D4" s="2" t="s">
        <v>3</v>
      </c>
      <c r="E4" s="7" t="s">
        <v>1273</v>
      </c>
      <c r="F4" s="3" t="str">
        <f>HYPERLINK("https://stat100.ameba.jp/tnk47/ratio20/illustrations/card/ill_86205_omikichan05.jpg", "■")</f>
        <v>■</v>
      </c>
      <c r="G4" s="2" t="s">
        <v>888</v>
      </c>
      <c r="H4" s="2" t="s">
        <v>544</v>
      </c>
      <c r="I4" s="2" t="s">
        <v>723</v>
      </c>
      <c r="J4" s="2">
        <v>9</v>
      </c>
      <c r="K4" s="2">
        <v>32239</v>
      </c>
      <c r="L4" s="2">
        <v>44523</v>
      </c>
      <c r="M4" s="2" t="s">
        <v>879</v>
      </c>
      <c r="N4" s="2" t="s">
        <v>1073</v>
      </c>
      <c r="O4" s="11"/>
    </row>
    <row r="5" spans="1:15">
      <c r="A5" s="2">
        <v>86133</v>
      </c>
      <c r="B5" s="2" t="s">
        <v>4</v>
      </c>
      <c r="C5" s="2" t="s">
        <v>634</v>
      </c>
      <c r="D5" s="2" t="s">
        <v>298</v>
      </c>
      <c r="E5" s="7" t="s">
        <v>1274</v>
      </c>
      <c r="F5" s="3" t="str">
        <f>HYPERLINK("https://stat100.ameba.jp/tnk47/ratio20/illustrations/card/ill_86133_gantankusumototakako03.jpg", "■")</f>
        <v>■</v>
      </c>
      <c r="G5" s="2" t="s">
        <v>896</v>
      </c>
      <c r="H5" s="2" t="s">
        <v>816</v>
      </c>
      <c r="I5" s="2" t="s">
        <v>1588</v>
      </c>
      <c r="J5" s="2">
        <v>9</v>
      </c>
      <c r="K5" s="2">
        <v>24195</v>
      </c>
      <c r="L5" s="2">
        <v>26676</v>
      </c>
      <c r="M5" s="2" t="s">
        <v>880</v>
      </c>
      <c r="N5" s="2" t="s">
        <v>1074</v>
      </c>
      <c r="O5" s="11" t="s">
        <v>2024</v>
      </c>
    </row>
    <row r="6" spans="1:15">
      <c r="A6" s="2">
        <v>86143</v>
      </c>
      <c r="B6" s="2" t="s">
        <v>4</v>
      </c>
      <c r="C6" s="2" t="s">
        <v>557</v>
      </c>
      <c r="D6" s="2" t="s">
        <v>298</v>
      </c>
      <c r="E6" s="7" t="s">
        <v>1275</v>
      </c>
      <c r="F6" s="3" t="str">
        <f>HYPERLINK("https://stat100.ameba.jp/tnk47/ratio20/illustrations/card/ill_86143_onikirishukurohime03.jpg", "■")</f>
        <v>■</v>
      </c>
      <c r="G6" s="2" t="s">
        <v>897</v>
      </c>
      <c r="H6" s="2" t="s">
        <v>250</v>
      </c>
      <c r="I6" s="2" t="s">
        <v>830</v>
      </c>
      <c r="J6" s="2">
        <v>9</v>
      </c>
      <c r="K6" s="2">
        <v>26676</v>
      </c>
      <c r="L6" s="2">
        <v>24195</v>
      </c>
      <c r="M6" s="2" t="s">
        <v>881</v>
      </c>
      <c r="N6" s="2" t="s">
        <v>1075</v>
      </c>
      <c r="O6" s="2" t="s">
        <v>1802</v>
      </c>
    </row>
    <row r="7" spans="1:15">
      <c r="A7" s="2">
        <v>86163</v>
      </c>
      <c r="B7" s="2" t="s">
        <v>10</v>
      </c>
      <c r="C7" s="2" t="s">
        <v>49</v>
      </c>
      <c r="D7" s="2" t="s">
        <v>298</v>
      </c>
      <c r="E7" s="7" t="s">
        <v>1276</v>
      </c>
      <c r="F7" s="3" t="str">
        <f>HYPERLINK("https://stat100.ameba.jp/tnk47/ratio20/illustrations/card/ill_86163_saishokukembioichinokata03.jpg", "■")</f>
        <v>■</v>
      </c>
      <c r="G7" s="2" t="s">
        <v>892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882</v>
      </c>
      <c r="N7" s="2" t="s">
        <v>1076</v>
      </c>
    </row>
    <row r="8" spans="1:15">
      <c r="A8" s="2">
        <v>86153</v>
      </c>
      <c r="B8" s="2" t="s">
        <v>10</v>
      </c>
      <c r="C8" s="2" t="s">
        <v>599</v>
      </c>
      <c r="D8" s="2" t="s">
        <v>298</v>
      </c>
      <c r="E8" s="7" t="s">
        <v>1277</v>
      </c>
      <c r="F8" s="3" t="str">
        <f>HYPERLINK("https://stat100.ameba.jp/tnk47/ratio20/illustrations/card/ill_86153_suzukikason03.jpg", "■")</f>
        <v>■</v>
      </c>
      <c r="G8" s="2" t="s">
        <v>895</v>
      </c>
      <c r="H8" s="2" t="s">
        <v>64</v>
      </c>
      <c r="I8" s="2" t="s">
        <v>1383</v>
      </c>
      <c r="J8" s="2">
        <v>7</v>
      </c>
      <c r="K8" s="2">
        <v>12101</v>
      </c>
      <c r="L8" s="2">
        <v>14554</v>
      </c>
      <c r="M8" s="2" t="s">
        <v>884</v>
      </c>
      <c r="N8" s="2" t="s">
        <v>883</v>
      </c>
      <c r="O8" s="11"/>
    </row>
    <row r="9" spans="1:15">
      <c r="A9" s="2">
        <v>86173</v>
      </c>
      <c r="B9" s="2" t="s">
        <v>13</v>
      </c>
      <c r="C9" s="2" t="s">
        <v>32</v>
      </c>
      <c r="D9" s="2" t="s">
        <v>298</v>
      </c>
      <c r="E9" s="7" t="s">
        <v>1278</v>
      </c>
      <c r="F9" s="3" t="str">
        <f>HYPERLINK("https://stat100.ameba.jp/tnk47/ratio20/illustrations/card/ill_86173_hyakuninisshuise03.jpg", "■")</f>
        <v>■</v>
      </c>
      <c r="G9" s="2" t="s">
        <v>891</v>
      </c>
      <c r="H9" s="2" t="s">
        <v>122</v>
      </c>
      <c r="I9" s="2" t="s">
        <v>121</v>
      </c>
      <c r="J9" s="2">
        <v>5</v>
      </c>
      <c r="K9" s="2">
        <v>5286</v>
      </c>
      <c r="L9" s="2">
        <v>6294</v>
      </c>
      <c r="M9" s="2" t="s">
        <v>885</v>
      </c>
      <c r="N9" s="2" t="s">
        <v>342</v>
      </c>
      <c r="O9" s="11"/>
    </row>
    <row r="10" spans="1:15">
      <c r="A10" s="2">
        <v>86183</v>
      </c>
      <c r="B10" s="2" t="s">
        <v>13</v>
      </c>
      <c r="C10" s="2" t="s">
        <v>42</v>
      </c>
      <c r="D10" s="2" t="s">
        <v>440</v>
      </c>
      <c r="E10" s="7" t="s">
        <v>1279</v>
      </c>
      <c r="F10" s="3" t="str">
        <f>HYPERLINK("https://stat100.ameba.jp/tnk47/ratio20/illustrations/card/ill_86183_nekogozen03.jpg", "■")</f>
        <v>■</v>
      </c>
      <c r="G10" s="2" t="s">
        <v>890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886</v>
      </c>
      <c r="N10" s="2" t="s">
        <v>112</v>
      </c>
      <c r="O10" s="11"/>
    </row>
    <row r="11" spans="1:15">
      <c r="A11" s="2">
        <v>86193</v>
      </c>
      <c r="B11" s="2" t="s">
        <v>13</v>
      </c>
      <c r="C11" s="2" t="s">
        <v>704</v>
      </c>
      <c r="D11" s="2" t="s">
        <v>1</v>
      </c>
      <c r="E11" s="7" t="s">
        <v>1280</v>
      </c>
      <c r="F11" s="3" t="str">
        <f>HYPERLINK("https://stat100.ameba.jp/tnk47/ratio20/illustrations/card/ill_86193_ukiyoehigokokunoneko03.jpg", "■")</f>
        <v>■</v>
      </c>
      <c r="G11" s="2" t="s">
        <v>889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887</v>
      </c>
      <c r="N11" s="2" t="s">
        <v>674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86293</v>
      </c>
      <c r="B16" s="2" t="s">
        <v>10</v>
      </c>
      <c r="C16" s="2" t="s">
        <v>49</v>
      </c>
      <c r="D16" s="2" t="s">
        <v>3</v>
      </c>
      <c r="E16" s="7" t="s">
        <v>1281</v>
      </c>
      <c r="F16" s="3" t="str">
        <f>HYPERLINK("https://stat100.ameba.jp/tnk47/ratio20/illustrations/card/ill_86293_kurikinton03.jpg", "■")</f>
        <v>■</v>
      </c>
      <c r="G16" s="2" t="s">
        <v>941</v>
      </c>
      <c r="H16" s="2" t="s">
        <v>926</v>
      </c>
      <c r="I16" s="2" t="s">
        <v>927</v>
      </c>
      <c r="J16" s="2">
        <v>14</v>
      </c>
      <c r="K16" s="2" t="s">
        <v>920</v>
      </c>
      <c r="L16" s="2" t="s">
        <v>920</v>
      </c>
      <c r="M16" s="2" t="s">
        <v>942</v>
      </c>
      <c r="N16" s="2" t="s">
        <v>51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7229-0D3A-4A20-B4B6-80796609744B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86743</v>
      </c>
      <c r="B3" s="2" t="s">
        <v>726</v>
      </c>
      <c r="C3" s="2" t="s">
        <v>2</v>
      </c>
      <c r="D3" s="2" t="s">
        <v>61</v>
      </c>
      <c r="E3" s="7" t="s">
        <v>1282</v>
      </c>
      <c r="F3" s="3" t="str">
        <f>HYPERLINK("https://stat100.ameba.jp/tnk47/ratio20/illustrations/card/ill_86743_setsubunhakoneonsenchan03.jpg", "■")</f>
        <v>■</v>
      </c>
      <c r="G3" s="2" t="s">
        <v>917</v>
      </c>
      <c r="H3" s="2" t="s">
        <v>943</v>
      </c>
      <c r="I3" s="2" t="s">
        <v>947</v>
      </c>
      <c r="J3" s="2">
        <v>15</v>
      </c>
      <c r="K3" s="2">
        <v>68334</v>
      </c>
      <c r="L3" s="2">
        <v>63535</v>
      </c>
      <c r="M3" s="2" t="s">
        <v>901</v>
      </c>
      <c r="N3" s="2" t="s">
        <v>1077</v>
      </c>
      <c r="O3" s="2" t="s">
        <v>2022</v>
      </c>
    </row>
    <row r="4" spans="1:15">
      <c r="A4" s="2">
        <v>86825</v>
      </c>
      <c r="B4" s="2" t="s">
        <v>726</v>
      </c>
      <c r="C4" s="2" t="s">
        <v>527</v>
      </c>
      <c r="D4" s="2" t="s">
        <v>297</v>
      </c>
      <c r="E4" s="7" t="s">
        <v>1283</v>
      </c>
      <c r="F4" s="3" t="str">
        <f>HYPERLINK("https://stat100.ameba.jp/tnk47/ratio20/illustrations/card/ill_86825_onikojimayataro05.jpg", "■")</f>
        <v>■</v>
      </c>
      <c r="G4" s="2" t="s">
        <v>915</v>
      </c>
      <c r="H4" s="2" t="s">
        <v>544</v>
      </c>
      <c r="I4" s="2" t="s">
        <v>723</v>
      </c>
      <c r="J4" s="2">
        <v>9</v>
      </c>
      <c r="K4" s="2">
        <v>29853</v>
      </c>
      <c r="L4" s="2">
        <v>38850</v>
      </c>
      <c r="M4" s="2" t="s">
        <v>902</v>
      </c>
      <c r="N4" s="2" t="s">
        <v>1078</v>
      </c>
      <c r="O4" s="11"/>
    </row>
    <row r="5" spans="1:15">
      <c r="A5" s="2">
        <v>86753</v>
      </c>
      <c r="B5" s="2" t="s">
        <v>4</v>
      </c>
      <c r="C5" s="2" t="s">
        <v>42</v>
      </c>
      <c r="D5" s="2" t="s">
        <v>61</v>
      </c>
      <c r="E5" s="7" t="s">
        <v>1284</v>
      </c>
      <c r="F5" s="3" t="str">
        <f>HYPERLINK("https://stat100.ameba.jp/tnk47/ratio20/illustrations/card/ill_86753_setsubuntsukinowaguma03.jpg", "■")</f>
        <v>■</v>
      </c>
      <c r="G5" s="2" t="s">
        <v>916</v>
      </c>
      <c r="H5" s="2" t="s">
        <v>125</v>
      </c>
      <c r="I5" s="2" t="s">
        <v>946</v>
      </c>
      <c r="J5" s="2">
        <v>9</v>
      </c>
      <c r="K5" s="2">
        <v>24195</v>
      </c>
      <c r="L5" s="2">
        <v>26676</v>
      </c>
      <c r="M5" s="2" t="s">
        <v>903</v>
      </c>
      <c r="N5" s="2" t="s">
        <v>976</v>
      </c>
      <c r="O5" s="11"/>
    </row>
    <row r="6" spans="1:15">
      <c r="A6" s="2">
        <v>86763</v>
      </c>
      <c r="B6" s="2" t="s">
        <v>4</v>
      </c>
      <c r="C6" s="2" t="s">
        <v>599</v>
      </c>
      <c r="D6" s="2" t="s">
        <v>61</v>
      </c>
      <c r="E6" s="7" t="s">
        <v>1285</v>
      </c>
      <c r="F6" s="3" t="str">
        <f>HYPERLINK("https://stat100.ameba.jp/tnk47/ratio20/illustrations/card/ill_86763_asakusanoraimon03.jpg", "■")</f>
        <v>■</v>
      </c>
      <c r="G6" s="2" t="s">
        <v>914</v>
      </c>
      <c r="H6" s="2" t="s">
        <v>250</v>
      </c>
      <c r="I6" s="2" t="s">
        <v>458</v>
      </c>
      <c r="J6" s="2">
        <v>9</v>
      </c>
      <c r="K6" s="2">
        <v>26676</v>
      </c>
      <c r="L6" s="2">
        <v>24195</v>
      </c>
      <c r="M6" s="2" t="s">
        <v>904</v>
      </c>
      <c r="N6" s="2" t="s">
        <v>1050</v>
      </c>
      <c r="O6" s="11"/>
    </row>
    <row r="7" spans="1:15">
      <c r="A7" s="2">
        <v>86783</v>
      </c>
      <c r="B7" s="2" t="s">
        <v>10</v>
      </c>
      <c r="C7" s="2" t="s">
        <v>554</v>
      </c>
      <c r="D7" s="2" t="s">
        <v>61</v>
      </c>
      <c r="E7" s="7" t="s">
        <v>1286</v>
      </c>
      <c r="F7" s="3" t="str">
        <f>HYPERLINK("https://stat100.ameba.jp/tnk47/ratio20/illustrations/card/ill_86783_setubunsoutyan03.jpg", "■")</f>
        <v>■</v>
      </c>
      <c r="G7" s="2" t="s">
        <v>911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905</v>
      </c>
      <c r="N7" s="2" t="s">
        <v>1051</v>
      </c>
      <c r="O7" s="11"/>
    </row>
    <row r="8" spans="1:15">
      <c r="A8" s="2">
        <v>86773</v>
      </c>
      <c r="B8" s="2" t="s">
        <v>10</v>
      </c>
      <c r="C8" s="2" t="s">
        <v>634</v>
      </c>
      <c r="D8" s="2" t="s">
        <v>61</v>
      </c>
      <c r="E8" s="7" t="s">
        <v>1287</v>
      </c>
      <c r="F8" s="3" t="str">
        <f>HYPERLINK("https://stat100.ameba.jp/tnk47/ratio20/illustrations/card/ill_86773_okajo03.jpg", "■")</f>
        <v>■</v>
      </c>
      <c r="G8" s="2" t="s">
        <v>918</v>
      </c>
      <c r="H8" s="2" t="s">
        <v>64</v>
      </c>
      <c r="I8" s="2" t="s">
        <v>126</v>
      </c>
      <c r="J8" s="2">
        <v>7</v>
      </c>
      <c r="K8" s="2">
        <v>12101</v>
      </c>
      <c r="L8" s="2">
        <v>14554</v>
      </c>
      <c r="M8" s="2" t="s">
        <v>906</v>
      </c>
      <c r="N8" s="2" t="s">
        <v>335</v>
      </c>
      <c r="O8" s="11"/>
    </row>
    <row r="9" spans="1:15">
      <c r="A9" s="2">
        <v>86793</v>
      </c>
      <c r="B9" s="2" t="s">
        <v>13</v>
      </c>
      <c r="C9" s="2" t="s">
        <v>898</v>
      </c>
      <c r="D9" s="2" t="s">
        <v>61</v>
      </c>
      <c r="E9" s="7" t="s">
        <v>1288</v>
      </c>
      <c r="F9" s="3" t="str">
        <f>HYPERLINK("https://stat100.ameba.jp/tnk47/ratio20/illustrations/card/ill_86793_tachiuochan03.jpg", "■")</f>
        <v>■</v>
      </c>
      <c r="G9" s="2" t="s">
        <v>913</v>
      </c>
      <c r="H9" s="2" t="s">
        <v>122</v>
      </c>
      <c r="I9" s="2" t="s">
        <v>121</v>
      </c>
      <c r="J9" s="2">
        <v>5</v>
      </c>
      <c r="K9" s="2">
        <v>5286</v>
      </c>
      <c r="L9" s="2">
        <v>6294</v>
      </c>
      <c r="M9" s="2" t="s">
        <v>907</v>
      </c>
      <c r="N9" s="2" t="s">
        <v>443</v>
      </c>
      <c r="O9" s="11"/>
    </row>
    <row r="10" spans="1:15">
      <c r="A10" s="2">
        <v>86803</v>
      </c>
      <c r="B10" s="2" t="s">
        <v>13</v>
      </c>
      <c r="C10" s="2" t="s">
        <v>899</v>
      </c>
      <c r="D10" s="2" t="s">
        <v>298</v>
      </c>
      <c r="E10" s="7" t="s">
        <v>1289</v>
      </c>
      <c r="F10" s="3" t="str">
        <f>HYPERLINK("https://stat100.ameba.jp/tnk47/ratio20/illustrations/card/ill_86803_setsubummochizukichiyome03.jpg", "■")</f>
        <v>■</v>
      </c>
      <c r="G10" s="2" t="s">
        <v>912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908</v>
      </c>
      <c r="N10" s="2" t="s">
        <v>310</v>
      </c>
      <c r="O10" s="11"/>
    </row>
    <row r="11" spans="1:15">
      <c r="A11" s="2">
        <v>86813</v>
      </c>
      <c r="B11" s="2" t="s">
        <v>13</v>
      </c>
      <c r="C11" s="2" t="s">
        <v>900</v>
      </c>
      <c r="D11" s="2" t="s">
        <v>40</v>
      </c>
      <c r="E11" s="7" t="s">
        <v>1290</v>
      </c>
      <c r="F11" s="3" t="str">
        <f>HYPERLINK("https://stat100.ameba.jp/tnk47/ratio20/illustrations/card/ill_86813_yamanatoyokuni03.jpg", "■")</f>
        <v>■</v>
      </c>
      <c r="G11" s="2" t="s">
        <v>910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909</v>
      </c>
      <c r="N11" s="2" t="s">
        <v>418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86913</v>
      </c>
      <c r="B16" s="2" t="s">
        <v>10</v>
      </c>
      <c r="C16" s="2" t="s">
        <v>42</v>
      </c>
      <c r="D16" s="2" t="s">
        <v>40</v>
      </c>
      <c r="E16" s="7" t="s">
        <v>1291</v>
      </c>
      <c r="F16" s="3" t="str">
        <f>HYPERLINK("https://stat100.ameba.jp/tnk47/ratio20/illustrations/card/ill_86913_hommeiuesugiyozan03.jpg", "■")</f>
        <v>■</v>
      </c>
      <c r="G16" s="2" t="s">
        <v>924</v>
      </c>
      <c r="H16" s="2" t="s">
        <v>926</v>
      </c>
      <c r="I16" s="2" t="s">
        <v>927</v>
      </c>
      <c r="J16" s="2">
        <v>14</v>
      </c>
      <c r="K16" s="2" t="s">
        <v>920</v>
      </c>
      <c r="L16" s="2" t="s">
        <v>920</v>
      </c>
      <c r="M16" s="2" t="s">
        <v>925</v>
      </c>
      <c r="N16" s="2" t="s">
        <v>213</v>
      </c>
    </row>
  </sheetData>
  <phoneticPr fontId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70A6-D95F-447C-80F6-1898E4C9821F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87493</v>
      </c>
      <c r="B3" s="2" t="s">
        <v>726</v>
      </c>
      <c r="C3" s="2" t="s">
        <v>2</v>
      </c>
      <c r="D3" s="2" t="s">
        <v>33</v>
      </c>
      <c r="E3" s="7" t="s">
        <v>1292</v>
      </c>
      <c r="F3" s="3" t="str">
        <f>HYPERLINK("https://stat100.ameba.jp/tnk47/ratio20/illustrations/card/ill_87493_seikasodatsusenhatsumenotsubone03.jpg", "■")</f>
        <v>■</v>
      </c>
      <c r="G3" s="2" t="s">
        <v>958</v>
      </c>
      <c r="H3" s="2" t="s">
        <v>1303</v>
      </c>
      <c r="I3" s="2" t="s">
        <v>856</v>
      </c>
      <c r="J3" s="2">
        <v>15</v>
      </c>
      <c r="K3" s="2">
        <v>61314</v>
      </c>
      <c r="L3" s="2">
        <v>56992</v>
      </c>
      <c r="M3" s="2" t="s">
        <v>960</v>
      </c>
      <c r="N3" s="2" t="s">
        <v>1079</v>
      </c>
      <c r="O3" s="11" t="s">
        <v>2019</v>
      </c>
    </row>
    <row r="4" spans="1:15">
      <c r="A4" s="2">
        <v>87575</v>
      </c>
      <c r="B4" s="2" t="s">
        <v>726</v>
      </c>
      <c r="C4" s="2" t="s">
        <v>551</v>
      </c>
      <c r="D4" s="2" t="s">
        <v>40</v>
      </c>
      <c r="E4" s="7" t="s">
        <v>1293</v>
      </c>
      <c r="F4" s="3" t="str">
        <f>HYPERLINK("https://stat100.ameba.jp/tnk47/ratio20/illustrations/card/ill_87575_kumanofusuminokami05.jpg", "■")</f>
        <v>■</v>
      </c>
      <c r="G4" s="2" t="s">
        <v>957</v>
      </c>
      <c r="H4" s="2" t="s">
        <v>621</v>
      </c>
      <c r="I4" s="2" t="s">
        <v>781</v>
      </c>
      <c r="J4" s="2">
        <v>9</v>
      </c>
      <c r="K4" s="2">
        <v>37005</v>
      </c>
      <c r="L4" s="2">
        <v>28437</v>
      </c>
      <c r="M4" s="2" t="s">
        <v>961</v>
      </c>
      <c r="N4" s="2" t="s">
        <v>1068</v>
      </c>
      <c r="O4" s="11"/>
    </row>
    <row r="5" spans="1:15">
      <c r="A5" s="2">
        <v>87503</v>
      </c>
      <c r="B5" s="2" t="s">
        <v>4</v>
      </c>
      <c r="C5" s="2" t="s">
        <v>32</v>
      </c>
      <c r="D5" s="2" t="s">
        <v>40</v>
      </c>
      <c r="E5" s="7" t="s">
        <v>1294</v>
      </c>
      <c r="F5" s="3" t="str">
        <f>HYPERLINK("https://stat100.ameba.jp/tnk47/ratio20/illustrations/card/ill_87503_makaimusashibobenkei03.jpg", "■")</f>
        <v>■</v>
      </c>
      <c r="G5" s="2" t="s">
        <v>956</v>
      </c>
      <c r="H5" s="2" t="s">
        <v>1302</v>
      </c>
      <c r="I5" s="2" t="s">
        <v>1478</v>
      </c>
      <c r="J5" s="2">
        <v>9</v>
      </c>
      <c r="K5" s="2">
        <v>24195</v>
      </c>
      <c r="L5" s="2">
        <v>26676</v>
      </c>
      <c r="M5" s="2" t="s">
        <v>962</v>
      </c>
      <c r="N5" s="2" t="s">
        <v>996</v>
      </c>
      <c r="O5" s="11"/>
    </row>
    <row r="6" spans="1:15">
      <c r="A6" s="2">
        <v>87513</v>
      </c>
      <c r="B6" s="2" t="s">
        <v>4</v>
      </c>
      <c r="C6" s="2" t="s">
        <v>49</v>
      </c>
      <c r="D6" s="2" t="s">
        <v>1</v>
      </c>
      <c r="E6" s="7" t="s">
        <v>1295</v>
      </c>
      <c r="F6" s="3" t="str">
        <f>HYPERLINK("https://stat100.ameba.jp/tnk47/ratio20/illustrations/card/ill_87513_kurabufuraribi03.jpg", "■")</f>
        <v>■</v>
      </c>
      <c r="G6" s="2" t="s">
        <v>955</v>
      </c>
      <c r="H6" s="2" t="s">
        <v>250</v>
      </c>
      <c r="I6" s="2" t="s">
        <v>458</v>
      </c>
      <c r="J6" s="2">
        <v>9</v>
      </c>
      <c r="K6" s="2">
        <v>26676</v>
      </c>
      <c r="L6" s="2">
        <v>24195</v>
      </c>
      <c r="M6" s="2" t="s">
        <v>963</v>
      </c>
      <c r="N6" s="2" t="s">
        <v>1014</v>
      </c>
      <c r="O6" s="11" t="s">
        <v>1529</v>
      </c>
    </row>
    <row r="7" spans="1:15">
      <c r="A7" s="2">
        <v>87533</v>
      </c>
      <c r="B7" s="2" t="s">
        <v>10</v>
      </c>
      <c r="C7" s="2" t="s">
        <v>634</v>
      </c>
      <c r="D7" s="2" t="s">
        <v>1</v>
      </c>
      <c r="E7" s="7" t="s">
        <v>1296</v>
      </c>
      <c r="F7" s="3" t="str">
        <f>HYPERLINK("https://stat100.ameba.jp/tnk47/ratio20/illustrations/card/ill_87533_tempi03.jpg", "■")</f>
        <v>■</v>
      </c>
      <c r="G7" s="2" t="s">
        <v>954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964</v>
      </c>
      <c r="N7" s="2" t="s">
        <v>1080</v>
      </c>
      <c r="O7" s="11"/>
    </row>
    <row r="8" spans="1:15">
      <c r="A8" s="2">
        <v>87523</v>
      </c>
      <c r="B8" s="2" t="s">
        <v>10</v>
      </c>
      <c r="C8" s="2" t="s">
        <v>42</v>
      </c>
      <c r="D8" s="2" t="s">
        <v>1</v>
      </c>
      <c r="E8" s="7" t="s">
        <v>1297</v>
      </c>
      <c r="F8" s="3" t="str">
        <f>HYPERLINK("https://stat100.ameba.jp/tnk47/ratio20/illustrations/card/ill_87523_royakannairi03.jpg", "■")</f>
        <v>■</v>
      </c>
      <c r="G8" s="2" t="s">
        <v>959</v>
      </c>
      <c r="H8" s="2" t="s">
        <v>64</v>
      </c>
      <c r="I8" s="2" t="s">
        <v>126</v>
      </c>
      <c r="J8" s="2">
        <v>7</v>
      </c>
      <c r="K8" s="2">
        <v>12101</v>
      </c>
      <c r="L8" s="2">
        <v>14554</v>
      </c>
      <c r="M8" s="2" t="s">
        <v>965</v>
      </c>
      <c r="N8" s="2" t="s">
        <v>11</v>
      </c>
      <c r="O8" s="11"/>
    </row>
    <row r="9" spans="1:15">
      <c r="A9" s="2">
        <v>87543</v>
      </c>
      <c r="B9" s="2" t="s">
        <v>13</v>
      </c>
      <c r="C9" s="2" t="s">
        <v>950</v>
      </c>
      <c r="D9" s="2" t="s">
        <v>1</v>
      </c>
      <c r="E9" s="7" t="s">
        <v>1298</v>
      </c>
      <c r="F9" s="3" t="str">
        <f>HYPERLINK("https://stat100.ameba.jp/tnk47/ratio20/illustrations/card/ill_87543_shiranui03.jpg", "■")</f>
        <v>■</v>
      </c>
      <c r="G9" s="2" t="s">
        <v>953</v>
      </c>
      <c r="H9" s="2" t="s">
        <v>122</v>
      </c>
      <c r="I9" s="2" t="s">
        <v>121</v>
      </c>
      <c r="J9" s="2">
        <v>5</v>
      </c>
      <c r="K9" s="2">
        <v>5286</v>
      </c>
      <c r="L9" s="2">
        <v>6294</v>
      </c>
      <c r="M9" s="2" t="s">
        <v>966</v>
      </c>
      <c r="N9" s="2" t="s">
        <v>145</v>
      </c>
      <c r="O9" s="11"/>
    </row>
    <row r="10" spans="1:15">
      <c r="A10" s="2">
        <v>87553</v>
      </c>
      <c r="B10" s="2" t="s">
        <v>13</v>
      </c>
      <c r="C10" s="2" t="s">
        <v>555</v>
      </c>
      <c r="D10" s="2" t="s">
        <v>61</v>
      </c>
      <c r="E10" s="7" t="s">
        <v>1299</v>
      </c>
      <c r="F10" s="3" t="str">
        <f>HYPERLINK("https://stat100.ameba.jp/tnk47/ratio20/illustrations/card/ill_87553_hikeshi03.jpg", "■")</f>
        <v>■</v>
      </c>
      <c r="G10" s="2" t="s">
        <v>951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967</v>
      </c>
      <c r="N10" s="2" t="s">
        <v>63</v>
      </c>
      <c r="O10" s="11"/>
    </row>
    <row r="11" spans="1:15">
      <c r="A11" s="2">
        <v>87563</v>
      </c>
      <c r="B11" s="2" t="s">
        <v>13</v>
      </c>
      <c r="C11" s="2" t="s">
        <v>823</v>
      </c>
      <c r="D11" s="2" t="s">
        <v>40</v>
      </c>
      <c r="E11" s="7" t="s">
        <v>1300</v>
      </c>
      <c r="F11" s="3" t="str">
        <f>HYPERLINK("https://stat100.ameba.jp/tnk47/ratio20/illustrations/card/ill_87563_odaujiharu03.jpg", "■")</f>
        <v>■</v>
      </c>
      <c r="G11" s="2" t="s">
        <v>952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968</v>
      </c>
      <c r="N11" s="2" t="s">
        <v>716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87663</v>
      </c>
      <c r="B16" s="2" t="s">
        <v>10</v>
      </c>
      <c r="C16" s="2" t="s">
        <v>32</v>
      </c>
      <c r="D16" s="2" t="s">
        <v>128</v>
      </c>
      <c r="E16" s="7" t="s">
        <v>1301</v>
      </c>
      <c r="F16" s="3" t="str">
        <f>HYPERLINK("https://stat100.ameba.jp/tnk47/ratio20/illustrations/card/ill_87663_odorikoasaitsuruchiyo03.jpg", "■")</f>
        <v>■</v>
      </c>
      <c r="G16" s="2" t="s">
        <v>948</v>
      </c>
      <c r="H16" s="2" t="s">
        <v>926</v>
      </c>
      <c r="I16" s="2" t="s">
        <v>927</v>
      </c>
      <c r="J16" s="2">
        <v>14</v>
      </c>
      <c r="K16" s="2" t="s">
        <v>920</v>
      </c>
      <c r="L16" s="2" t="s">
        <v>920</v>
      </c>
      <c r="M16" s="2" t="s">
        <v>949</v>
      </c>
      <c r="N16" s="2" t="s">
        <v>303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9E3B0-A17B-4235-B59E-4FF47EFA2D1B}">
  <dimension ref="A1:O18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 t="s">
        <v>1556</v>
      </c>
      <c r="E3" s="3"/>
      <c r="F3" s="3"/>
    </row>
    <row r="4" spans="1:15">
      <c r="E4" s="3"/>
      <c r="F4" s="3"/>
    </row>
    <row r="5" spans="1:15">
      <c r="A5" s="2">
        <v>88213</v>
      </c>
      <c r="B5" s="2" t="s">
        <v>726</v>
      </c>
      <c r="C5" s="2" t="s">
        <v>2</v>
      </c>
      <c r="D5" s="2" t="s">
        <v>3</v>
      </c>
      <c r="E5" s="7" t="s">
        <v>1312</v>
      </c>
      <c r="F5" s="3" t="str">
        <f>HYPERLINK("https://stat100.ameba.jp/tnk47/ratio20/illustrations/card/ill_88213_puroresuhokkaidogyunyuchan03.jpg", "■")</f>
        <v>■</v>
      </c>
      <c r="G5" s="2" t="s">
        <v>1344</v>
      </c>
      <c r="H5" s="2" t="s">
        <v>1340</v>
      </c>
      <c r="I5" s="2" t="s">
        <v>856</v>
      </c>
      <c r="J5" s="2">
        <v>17</v>
      </c>
      <c r="K5" s="2">
        <v>78119</v>
      </c>
      <c r="L5" s="2">
        <v>84020</v>
      </c>
      <c r="M5" s="2" t="s">
        <v>1313</v>
      </c>
      <c r="N5" s="2" t="s">
        <v>1314</v>
      </c>
      <c r="O5" s="2" t="s">
        <v>2177</v>
      </c>
    </row>
    <row r="6" spans="1:15">
      <c r="A6" s="2">
        <v>88295</v>
      </c>
      <c r="B6" s="2" t="s">
        <v>726</v>
      </c>
      <c r="C6" s="2" t="s">
        <v>527</v>
      </c>
      <c r="D6" s="2" t="s">
        <v>40</v>
      </c>
      <c r="E6" s="7" t="s">
        <v>1315</v>
      </c>
      <c r="F6" s="3" t="str">
        <f>HYPERLINK("https://stat100.ameba.jp/tnk47/ratio20/illustrations/card/ill_88295_ikkitosemmaedakeiji05.jpg", "■")</f>
        <v>■</v>
      </c>
      <c r="G6" s="2" t="s">
        <v>1339</v>
      </c>
      <c r="H6" s="2" t="s">
        <v>621</v>
      </c>
      <c r="I6" s="2" t="s">
        <v>781</v>
      </c>
      <c r="J6" s="2">
        <v>9</v>
      </c>
      <c r="K6" s="2">
        <v>40630</v>
      </c>
      <c r="L6" s="2">
        <v>56115</v>
      </c>
      <c r="M6" s="2" t="s">
        <v>771</v>
      </c>
      <c r="N6" s="2" t="s">
        <v>1038</v>
      </c>
      <c r="O6" s="11"/>
    </row>
    <row r="7" spans="1:15">
      <c r="A7" s="2">
        <v>88223</v>
      </c>
      <c r="B7" s="2" t="s">
        <v>4</v>
      </c>
      <c r="C7" s="2" t="s">
        <v>599</v>
      </c>
      <c r="D7" s="2" t="s">
        <v>297</v>
      </c>
      <c r="E7" s="7" t="s">
        <v>1316</v>
      </c>
      <c r="F7" s="3" t="str">
        <f>HYPERLINK("https://stat100.ameba.jp/tnk47/ratio20/illustrations/card/ill_88223_puroresuotohime03.jpg", "■")</f>
        <v>■</v>
      </c>
      <c r="G7" s="2" t="s">
        <v>1343</v>
      </c>
      <c r="H7" s="2" t="s">
        <v>652</v>
      </c>
      <c r="I7" s="2" t="s">
        <v>660</v>
      </c>
      <c r="J7" s="2">
        <v>9</v>
      </c>
      <c r="K7" s="2">
        <v>26676</v>
      </c>
      <c r="L7" s="2">
        <v>24195</v>
      </c>
      <c r="M7" s="2" t="s">
        <v>1317</v>
      </c>
      <c r="N7" s="2" t="s">
        <v>1019</v>
      </c>
      <c r="O7" s="11"/>
    </row>
    <row r="8" spans="1:15">
      <c r="A8" s="2">
        <v>88233</v>
      </c>
      <c r="B8" s="2" t="s">
        <v>4</v>
      </c>
      <c r="C8" s="2" t="s">
        <v>557</v>
      </c>
      <c r="D8" s="2" t="s">
        <v>638</v>
      </c>
      <c r="E8" s="7" t="s">
        <v>1318</v>
      </c>
      <c r="F8" s="3" t="str">
        <f>HYPERLINK("https://stat100.ameba.jp/tnk47/ratio20/illustrations/card/ill_88233_kanfukatsurakogorou03.jpg", "■")</f>
        <v>■</v>
      </c>
      <c r="G8" s="2" t="s">
        <v>1342</v>
      </c>
      <c r="H8" s="2" t="s">
        <v>250</v>
      </c>
      <c r="I8" s="2" t="s">
        <v>458</v>
      </c>
      <c r="J8" s="2">
        <v>9</v>
      </c>
      <c r="K8" s="2">
        <v>24195</v>
      </c>
      <c r="L8" s="2">
        <v>26676</v>
      </c>
      <c r="M8" s="2" t="s">
        <v>1319</v>
      </c>
      <c r="N8" s="2" t="s">
        <v>1040</v>
      </c>
      <c r="O8" s="11"/>
    </row>
    <row r="9" spans="1:15">
      <c r="A9" s="2">
        <v>88253</v>
      </c>
      <c r="B9" s="2" t="s">
        <v>10</v>
      </c>
      <c r="C9" s="2" t="s">
        <v>32</v>
      </c>
      <c r="D9" s="2" t="s">
        <v>440</v>
      </c>
      <c r="E9" s="7" t="s">
        <v>1320</v>
      </c>
      <c r="F9" s="3" t="str">
        <f>HYPERLINK("https://stat100.ameba.jp/tnk47/ratio20/illustrations/card/ill_88253_jimuchigusa03.jpg", "■")</f>
        <v>■</v>
      </c>
      <c r="G9" s="2" t="s">
        <v>1335</v>
      </c>
      <c r="H9" s="2" t="s">
        <v>19</v>
      </c>
      <c r="I9" s="2" t="s">
        <v>83</v>
      </c>
      <c r="J9" s="2">
        <v>11</v>
      </c>
      <c r="K9" s="2">
        <v>19016</v>
      </c>
      <c r="L9" s="2">
        <v>22871</v>
      </c>
      <c r="M9" s="2" t="s">
        <v>1321</v>
      </c>
      <c r="N9" s="2" t="s">
        <v>1053</v>
      </c>
      <c r="O9" s="11"/>
    </row>
    <row r="10" spans="1:15">
      <c r="A10" s="2">
        <v>88243</v>
      </c>
      <c r="B10" s="2" t="s">
        <v>10</v>
      </c>
      <c r="C10" s="2" t="s">
        <v>555</v>
      </c>
      <c r="D10" s="2" t="s">
        <v>440</v>
      </c>
      <c r="E10" s="7" t="s">
        <v>1322</v>
      </c>
      <c r="F10" s="3" t="str">
        <f>HYPERLINK("https://stat100.ameba.jp/tnk47/ratio20/illustrations/card/ill_88243_bijinonineesan03.jpg", "■")</f>
        <v>■</v>
      </c>
      <c r="G10" s="2" t="s">
        <v>1341</v>
      </c>
      <c r="H10" s="2" t="s">
        <v>64</v>
      </c>
      <c r="I10" s="2" t="s">
        <v>126</v>
      </c>
      <c r="J10" s="2">
        <v>7</v>
      </c>
      <c r="K10" s="2">
        <v>14554</v>
      </c>
      <c r="L10" s="2">
        <v>12101</v>
      </c>
      <c r="M10" s="2" t="s">
        <v>1323</v>
      </c>
      <c r="N10" s="2" t="s">
        <v>301</v>
      </c>
      <c r="O10" s="11"/>
    </row>
    <row r="11" spans="1:15">
      <c r="A11" s="2">
        <v>88263</v>
      </c>
      <c r="B11" s="2" t="s">
        <v>13</v>
      </c>
      <c r="C11" s="2" t="s">
        <v>557</v>
      </c>
      <c r="D11" s="2" t="s">
        <v>1</v>
      </c>
      <c r="E11" s="7" t="s">
        <v>1324</v>
      </c>
      <c r="F11" s="3" t="str">
        <f>HYPERLINK("https://stat100.ameba.jp/tnk47/ratio20/illustrations/card/ill_88263_shugyochuakashaguma03.jpg", "■")</f>
        <v>■</v>
      </c>
      <c r="G11" s="2" t="s">
        <v>1338</v>
      </c>
      <c r="H11" s="2" t="s">
        <v>122</v>
      </c>
      <c r="I11" s="2" t="s">
        <v>1331</v>
      </c>
      <c r="J11" s="2">
        <v>5</v>
      </c>
      <c r="K11" s="2">
        <v>6294</v>
      </c>
      <c r="L11" s="2">
        <v>5286</v>
      </c>
      <c r="M11" s="2" t="s">
        <v>1325</v>
      </c>
      <c r="N11" s="2" t="s">
        <v>120</v>
      </c>
      <c r="O11" s="11"/>
    </row>
    <row r="12" spans="1:15">
      <c r="A12" s="2">
        <v>88273</v>
      </c>
      <c r="B12" s="2" t="s">
        <v>13</v>
      </c>
      <c r="C12" s="2" t="s">
        <v>823</v>
      </c>
      <c r="D12" s="2" t="s">
        <v>638</v>
      </c>
      <c r="E12" s="7" t="s">
        <v>1326</v>
      </c>
      <c r="F12" s="3" t="str">
        <f>HYPERLINK("https://stat100.ameba.jp/tnk47/ratio20/illustrations/card/ill_88273_tengutotakedakounsai03.jpg", "■")</f>
        <v>■</v>
      </c>
      <c r="G12" s="2" t="s">
        <v>1337</v>
      </c>
      <c r="H12" s="2" t="s">
        <v>122</v>
      </c>
      <c r="I12" s="2" t="s">
        <v>123</v>
      </c>
      <c r="J12" s="2">
        <v>10</v>
      </c>
      <c r="K12" s="2">
        <v>10572</v>
      </c>
      <c r="L12" s="2">
        <v>12588</v>
      </c>
      <c r="M12" s="2" t="s">
        <v>1327</v>
      </c>
      <c r="N12" s="2" t="s">
        <v>443</v>
      </c>
      <c r="O12" s="11"/>
    </row>
    <row r="13" spans="1:15">
      <c r="A13" s="2">
        <v>88283</v>
      </c>
      <c r="B13" s="2" t="s">
        <v>13</v>
      </c>
      <c r="C13" s="2" t="s">
        <v>637</v>
      </c>
      <c r="D13" s="2" t="s">
        <v>40</v>
      </c>
      <c r="E13" s="7" t="s">
        <v>1328</v>
      </c>
      <c r="F13" s="3" t="str">
        <f>HYPERLINK("https://stat100.ameba.jp/tnk47/ratio20/illustrations/card/ill_88283_kengochibashusaku03.jpg", "■")</f>
        <v>■</v>
      </c>
      <c r="G13" s="2" t="s">
        <v>1336</v>
      </c>
      <c r="H13" s="2" t="s">
        <v>122</v>
      </c>
      <c r="I13" s="2" t="s">
        <v>123</v>
      </c>
      <c r="J13" s="2">
        <v>10</v>
      </c>
      <c r="K13" s="2">
        <v>12588</v>
      </c>
      <c r="L13" s="2">
        <v>10572</v>
      </c>
      <c r="M13" s="2" t="s">
        <v>1329</v>
      </c>
      <c r="N13" s="2" t="s">
        <v>1330</v>
      </c>
      <c r="O13" s="11"/>
    </row>
    <row r="15" spans="1:15">
      <c r="A15" s="2" t="s">
        <v>1817</v>
      </c>
    </row>
    <row r="16" spans="1:15">
      <c r="A16" s="2">
        <v>64893</v>
      </c>
      <c r="B16" s="2" t="s">
        <v>726</v>
      </c>
      <c r="C16" s="2" t="s">
        <v>42</v>
      </c>
      <c r="D16" s="2" t="s">
        <v>40</v>
      </c>
      <c r="E16" s="7" t="s">
        <v>1161</v>
      </c>
      <c r="F16" s="3" t="str">
        <f>HYPERLINK("https://stat100.ameba.jp/tnk47/ratio20/illustrations/card/ill_64893_yukataonamihime03.jpg", "■")</f>
        <v>■</v>
      </c>
      <c r="G16" s="2" t="s">
        <v>919</v>
      </c>
      <c r="J16" s="2">
        <v>14</v>
      </c>
      <c r="K16" s="2" t="s">
        <v>920</v>
      </c>
      <c r="L16" s="2" t="s">
        <v>920</v>
      </c>
      <c r="M16" s="2" t="s">
        <v>921</v>
      </c>
      <c r="N16" s="2" t="s">
        <v>1365</v>
      </c>
    </row>
    <row r="17" spans="1:14">
      <c r="A17" s="2">
        <v>51893</v>
      </c>
      <c r="B17" s="2" t="s">
        <v>726</v>
      </c>
      <c r="C17" s="2" t="s">
        <v>634</v>
      </c>
      <c r="D17" s="2" t="s">
        <v>33</v>
      </c>
      <c r="E17" s="7" t="s">
        <v>1162</v>
      </c>
      <c r="F17" s="3" t="str">
        <f>HYPERLINK("https://stat100.ameba.jp/tnk47/ratio20/illustrations/card/ill_51893_kemonomizugitakachihonomine03.jpg", "■")</f>
        <v>■</v>
      </c>
      <c r="G17" s="2" t="s">
        <v>922</v>
      </c>
      <c r="J17" s="2">
        <v>14</v>
      </c>
      <c r="K17" s="2" t="s">
        <v>920</v>
      </c>
      <c r="L17" s="2" t="s">
        <v>920</v>
      </c>
      <c r="M17" s="2" t="s">
        <v>923</v>
      </c>
      <c r="N17" s="2" t="s">
        <v>1366</v>
      </c>
    </row>
    <row r="18" spans="1:14">
      <c r="A18" s="2">
        <v>88383</v>
      </c>
      <c r="B18" s="2" t="s">
        <v>10</v>
      </c>
      <c r="C18" s="2" t="s">
        <v>557</v>
      </c>
      <c r="D18" s="2" t="s">
        <v>114</v>
      </c>
      <c r="E18" s="8" t="s">
        <v>1332</v>
      </c>
      <c r="F18" s="3" t="str">
        <f>HYPERLINK("https://stat100.ameba.jp/tnk47/ratio20/illustrations/card/ill_00003_xxx03.jpg", "■")</f>
        <v>■</v>
      </c>
      <c r="G18" s="2" t="s">
        <v>1333</v>
      </c>
      <c r="H18" s="2" t="s">
        <v>926</v>
      </c>
      <c r="I18" s="2" t="s">
        <v>927</v>
      </c>
      <c r="J18" s="2">
        <v>14</v>
      </c>
      <c r="K18" s="2" t="s">
        <v>920</v>
      </c>
      <c r="L18" s="2" t="s">
        <v>920</v>
      </c>
      <c r="M18" s="2" t="s">
        <v>1334</v>
      </c>
      <c r="N18" s="2" t="s">
        <v>213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9CCA1-A823-4130-8611-1EFB8889E87F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0.9140625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69353</v>
      </c>
      <c r="B3" s="2" t="s">
        <v>726</v>
      </c>
      <c r="C3" s="2" t="s">
        <v>95</v>
      </c>
      <c r="D3" s="2" t="s">
        <v>128</v>
      </c>
      <c r="E3" s="7" t="s">
        <v>1095</v>
      </c>
      <c r="F3" s="3" t="str">
        <f>HYPERLINK("https://stat100.ameba.jp/tnk47/ratio20/illustrations/card/ill_69353_shosenin03.jpg", "■")</f>
        <v>■</v>
      </c>
      <c r="G3" s="2" t="s">
        <v>317</v>
      </c>
      <c r="H3" s="2" t="s">
        <v>313</v>
      </c>
      <c r="I3" s="2" t="s">
        <v>312</v>
      </c>
      <c r="J3" s="2">
        <v>11</v>
      </c>
      <c r="K3" s="2">
        <v>39934</v>
      </c>
      <c r="L3" s="2">
        <v>42967</v>
      </c>
      <c r="M3" s="2" t="s">
        <v>291</v>
      </c>
      <c r="N3" s="2" t="s">
        <v>978</v>
      </c>
      <c r="O3" s="11" t="s">
        <v>1517</v>
      </c>
    </row>
    <row r="4" spans="1:15">
      <c r="A4" s="2">
        <v>69453</v>
      </c>
      <c r="B4" s="2" t="s">
        <v>726</v>
      </c>
      <c r="C4" s="2" t="s">
        <v>92</v>
      </c>
      <c r="D4" s="2" t="s">
        <v>154</v>
      </c>
      <c r="E4" s="7" t="s">
        <v>1096</v>
      </c>
      <c r="F4" s="3" t="str">
        <f>HYPERLINK("https://stat100.ameba.jp/tnk47/ratio20/illustrations/card/ill_69453_tenkurorenaijojubarentainrabu03.jpg", "■")</f>
        <v>■</v>
      </c>
      <c r="G4" s="2" t="s">
        <v>318</v>
      </c>
      <c r="I4" s="2" t="s">
        <v>311</v>
      </c>
      <c r="J4" s="2">
        <v>9</v>
      </c>
      <c r="K4" s="2">
        <v>34948</v>
      </c>
      <c r="L4" s="2">
        <v>37349</v>
      </c>
      <c r="M4" s="2" t="s">
        <v>292</v>
      </c>
      <c r="N4" s="2" t="s">
        <v>979</v>
      </c>
      <c r="O4" s="11"/>
    </row>
    <row r="5" spans="1:15">
      <c r="A5" s="2">
        <v>69431</v>
      </c>
      <c r="B5" s="2" t="s">
        <v>4</v>
      </c>
      <c r="C5" s="2" t="s">
        <v>95</v>
      </c>
      <c r="D5" s="2" t="s">
        <v>154</v>
      </c>
      <c r="E5" s="7" t="s">
        <v>1097</v>
      </c>
      <c r="F5" s="3" t="str">
        <f>HYPERLINK("https://stat100.ameba.jp/tnk47/ratio20/illustrations/card/ill_69431_tenkurorenaijojubarentainkukki01.jpg", "■")</f>
        <v>■</v>
      </c>
      <c r="G5" s="2" t="s">
        <v>319</v>
      </c>
      <c r="H5" s="2" t="s">
        <v>247</v>
      </c>
      <c r="J5" s="2">
        <v>9</v>
      </c>
      <c r="K5" s="2">
        <v>15390</v>
      </c>
      <c r="L5" s="2">
        <v>17100</v>
      </c>
      <c r="M5" s="2" t="s">
        <v>293</v>
      </c>
      <c r="N5" s="2" t="s">
        <v>980</v>
      </c>
      <c r="O5" s="11"/>
    </row>
    <row r="6" spans="1:15">
      <c r="A6" s="2">
        <v>69441</v>
      </c>
      <c r="B6" s="2" t="s">
        <v>4</v>
      </c>
      <c r="C6" s="2" t="s">
        <v>88</v>
      </c>
      <c r="D6" s="2" t="s">
        <v>154</v>
      </c>
      <c r="E6" s="7" t="s">
        <v>1098</v>
      </c>
      <c r="F6" s="3" t="str">
        <f>HYPERLINK("https://stat100.ameba.jp/tnk47/ratio20/illustrations/card/ill_69441_tenkurorenaijojubarentainchoko01.jpg", "■")</f>
        <v>■</v>
      </c>
      <c r="G6" s="2" t="s">
        <v>320</v>
      </c>
      <c r="H6" s="2" t="s">
        <v>249</v>
      </c>
      <c r="J6" s="2">
        <v>9</v>
      </c>
      <c r="K6" s="2">
        <v>15390</v>
      </c>
      <c r="L6" s="2">
        <v>17100</v>
      </c>
      <c r="M6" s="2" t="s">
        <v>294</v>
      </c>
      <c r="N6" s="2" t="s">
        <v>980</v>
      </c>
      <c r="O6" s="11"/>
    </row>
    <row r="7" spans="1:15">
      <c r="A7" s="2">
        <v>69373</v>
      </c>
      <c r="B7" s="2" t="s">
        <v>4</v>
      </c>
      <c r="C7" s="2" t="s">
        <v>138</v>
      </c>
      <c r="D7" s="2" t="s">
        <v>128</v>
      </c>
      <c r="E7" s="7" t="s">
        <v>1099</v>
      </c>
      <c r="F7" s="3" t="str">
        <f>HYPERLINK("https://stat100.ameba.jp/tnk47/ratio20/illustrations/card/ill_69373_fujiwaranoanshi03.jpg", "■")</f>
        <v>■</v>
      </c>
      <c r="G7" s="2" t="s">
        <v>316</v>
      </c>
      <c r="H7" s="2" t="s">
        <v>313</v>
      </c>
      <c r="I7" s="2" t="s">
        <v>314</v>
      </c>
      <c r="J7" s="2">
        <v>8</v>
      </c>
      <c r="K7" s="2">
        <v>26676</v>
      </c>
      <c r="L7" s="2">
        <v>24195</v>
      </c>
      <c r="M7" s="2" t="s">
        <v>295</v>
      </c>
      <c r="N7" s="2" t="s">
        <v>981</v>
      </c>
      <c r="O7" s="11"/>
    </row>
    <row r="8" spans="1:15">
      <c r="A8" s="2">
        <v>69363</v>
      </c>
      <c r="B8" s="2" t="s">
        <v>4</v>
      </c>
      <c r="C8" s="2" t="s">
        <v>98</v>
      </c>
      <c r="D8" s="2" t="s">
        <v>128</v>
      </c>
      <c r="E8" s="7" t="s">
        <v>1100</v>
      </c>
      <c r="F8" s="3" t="str">
        <f>HYPERLINK("https://stat100.ameba.jp/tnk47/ratio20/illustrations/card/ill_69363_ushunonihimeyoshihime03.jpg", "■")</f>
        <v>■</v>
      </c>
      <c r="G8" s="2" t="s">
        <v>315</v>
      </c>
      <c r="H8" s="2" t="s">
        <v>18</v>
      </c>
      <c r="I8" s="2" t="s">
        <v>82</v>
      </c>
      <c r="J8" s="2">
        <v>9</v>
      </c>
      <c r="K8" s="2">
        <v>24195</v>
      </c>
      <c r="L8" s="2">
        <v>26676</v>
      </c>
      <c r="M8" s="2" t="s">
        <v>296</v>
      </c>
      <c r="N8" s="2" t="s">
        <v>982</v>
      </c>
      <c r="O8" s="11"/>
    </row>
    <row r="9" spans="1:15">
      <c r="A9" s="2">
        <v>69393</v>
      </c>
      <c r="B9" s="2" t="s">
        <v>10</v>
      </c>
      <c r="C9" s="2" t="s">
        <v>299</v>
      </c>
      <c r="D9" s="2" t="s">
        <v>128</v>
      </c>
      <c r="E9" s="7" t="s">
        <v>1101</v>
      </c>
      <c r="F9" s="3" t="str">
        <f>HYPERLINK("https://stat100.ameba.jp/tnk47/ratio20/illustrations/card/ill_69393_kozaisyou03.jpg", "■")</f>
        <v>■</v>
      </c>
      <c r="G9" s="2" t="s">
        <v>321</v>
      </c>
      <c r="H9" s="2" t="s">
        <v>19</v>
      </c>
      <c r="I9" s="2" t="s">
        <v>83</v>
      </c>
      <c r="J9" s="2">
        <v>11</v>
      </c>
      <c r="K9" s="2">
        <v>22871</v>
      </c>
      <c r="L9" s="2">
        <v>19016</v>
      </c>
      <c r="M9" s="2" t="s">
        <v>300</v>
      </c>
      <c r="N9" s="2" t="s">
        <v>301</v>
      </c>
      <c r="O9" s="11"/>
    </row>
    <row r="10" spans="1:15">
      <c r="A10" s="2">
        <v>69383</v>
      </c>
      <c r="B10" s="2" t="s">
        <v>10</v>
      </c>
      <c r="C10" s="2" t="s">
        <v>214</v>
      </c>
      <c r="D10" s="2" t="s">
        <v>128</v>
      </c>
      <c r="E10" s="7" t="s">
        <v>1102</v>
      </c>
      <c r="F10" s="3" t="str">
        <f>HYPERLINK("https://stat100.ameba.jp/tnk47/ratio20/illustrations/card/ill_69383_yamanotedono03.jpg", "■")</f>
        <v>■</v>
      </c>
      <c r="G10" s="2" t="s">
        <v>322</v>
      </c>
      <c r="H10" s="2" t="s">
        <v>64</v>
      </c>
      <c r="I10" s="2" t="s">
        <v>65</v>
      </c>
      <c r="J10" s="2">
        <v>7</v>
      </c>
      <c r="K10" s="2">
        <v>12101</v>
      </c>
      <c r="L10" s="2">
        <v>14554</v>
      </c>
      <c r="M10" s="2" t="s">
        <v>302</v>
      </c>
      <c r="N10" s="2" t="s">
        <v>303</v>
      </c>
      <c r="O10" s="11"/>
    </row>
    <row r="11" spans="1:15">
      <c r="A11" s="2">
        <v>69403</v>
      </c>
      <c r="B11" s="2" t="s">
        <v>13</v>
      </c>
      <c r="C11" s="2" t="s">
        <v>304</v>
      </c>
      <c r="D11" s="2" t="s">
        <v>128</v>
      </c>
      <c r="E11" s="7" t="s">
        <v>1103</v>
      </c>
      <c r="F11" s="3" t="str">
        <f>HYPERLINK("https://stat100.ameba.jp/tnk47/ratio20/illustrations/card/ill_69403_tachibanaginchiyo03.jpg", "■")</f>
        <v>■</v>
      </c>
      <c r="G11" s="2" t="s">
        <v>323</v>
      </c>
      <c r="H11" s="2" t="s">
        <v>122</v>
      </c>
      <c r="I11" s="2" t="s">
        <v>733</v>
      </c>
      <c r="J11" s="2">
        <v>5</v>
      </c>
      <c r="K11" s="2">
        <v>6294</v>
      </c>
      <c r="L11" s="2">
        <v>5286</v>
      </c>
      <c r="M11" s="2" t="s">
        <v>305</v>
      </c>
      <c r="N11" s="2" t="s">
        <v>217</v>
      </c>
      <c r="O11" s="11"/>
    </row>
    <row r="12" spans="1:15">
      <c r="A12" s="2">
        <v>69413</v>
      </c>
      <c r="B12" s="2" t="s">
        <v>13</v>
      </c>
      <c r="C12" s="2" t="s">
        <v>306</v>
      </c>
      <c r="D12" s="2" t="s">
        <v>297</v>
      </c>
      <c r="E12" s="7" t="s">
        <v>1104</v>
      </c>
      <c r="F12" s="3" t="str">
        <f>HYPERLINK("https://stat100.ameba.jp/tnk47/ratio20/illustrations/card/ill_69413_morokoshinoseiji03.jpg", "■")</f>
        <v>■</v>
      </c>
      <c r="G12" s="2" t="s">
        <v>324</v>
      </c>
      <c r="H12" s="2" t="s">
        <v>122</v>
      </c>
      <c r="I12" s="2" t="s">
        <v>733</v>
      </c>
      <c r="J12" s="2">
        <v>10</v>
      </c>
      <c r="K12" s="2">
        <v>10572</v>
      </c>
      <c r="L12" s="2">
        <v>12588</v>
      </c>
      <c r="M12" s="2" t="s">
        <v>307</v>
      </c>
      <c r="N12" s="2" t="s">
        <v>108</v>
      </c>
      <c r="O12" s="11"/>
    </row>
    <row r="13" spans="1:15">
      <c r="A13" s="2">
        <v>69423</v>
      </c>
      <c r="B13" s="2" t="s">
        <v>13</v>
      </c>
      <c r="C13" s="2" t="s">
        <v>308</v>
      </c>
      <c r="D13" s="2" t="s">
        <v>298</v>
      </c>
      <c r="E13" s="7" t="s">
        <v>1105</v>
      </c>
      <c r="F13" s="3" t="str">
        <f>HYPERLINK("https://stat100.ameba.jp/tnk47/ratio20/illustrations/card/ill_69423_inokuchiakuri03.jpg", "■")</f>
        <v>■</v>
      </c>
      <c r="G13" s="2" t="s">
        <v>325</v>
      </c>
      <c r="H13" s="2" t="s">
        <v>122</v>
      </c>
      <c r="I13" s="2" t="s">
        <v>733</v>
      </c>
      <c r="J13" s="2">
        <v>10</v>
      </c>
      <c r="K13" s="2">
        <v>12588</v>
      </c>
      <c r="L13" s="2">
        <v>10572</v>
      </c>
      <c r="M13" s="2" t="s">
        <v>309</v>
      </c>
      <c r="N13" s="2" t="s">
        <v>310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FF01-523B-480B-8BDA-351AFD8E2373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88923</v>
      </c>
      <c r="B3" s="2" t="s">
        <v>726</v>
      </c>
      <c r="C3" s="2" t="s">
        <v>92</v>
      </c>
      <c r="D3" s="2" t="s">
        <v>7</v>
      </c>
      <c r="E3" s="7" t="s">
        <v>1345</v>
      </c>
      <c r="F3" s="3" t="str">
        <f>HYPERLINK("https://stat100.ameba.jp/tnk47/ratio20/illustrations/card/ill_88923_uchusensoinugami03.jpg", "■")</f>
        <v>■</v>
      </c>
      <c r="G3" s="2" t="s">
        <v>1381</v>
      </c>
      <c r="H3" s="2" t="s">
        <v>1371</v>
      </c>
      <c r="I3" s="2" t="s">
        <v>876</v>
      </c>
      <c r="J3" s="2">
        <v>17</v>
      </c>
      <c r="K3" s="2">
        <v>84020</v>
      </c>
      <c r="L3" s="2">
        <v>78119</v>
      </c>
      <c r="M3" s="2" t="s">
        <v>1363</v>
      </c>
      <c r="N3" s="2" t="s">
        <v>1364</v>
      </c>
      <c r="O3" s="2" t="s">
        <v>2212</v>
      </c>
    </row>
    <row r="4" spans="1:15">
      <c r="A4" s="2">
        <v>89005</v>
      </c>
      <c r="B4" s="2" t="s">
        <v>726</v>
      </c>
      <c r="C4" s="2" t="s">
        <v>551</v>
      </c>
      <c r="D4" s="2" t="s">
        <v>93</v>
      </c>
      <c r="E4" s="7" t="s">
        <v>1346</v>
      </c>
      <c r="F4" s="3" t="str">
        <f>HYPERLINK("https://stat100.ameba.jp/tnk47/ratio20/illustrations/card/ill_89005_yambarukuina05.jpg", "■")</f>
        <v>■</v>
      </c>
      <c r="G4" s="2" t="s">
        <v>1373</v>
      </c>
      <c r="H4" s="2" t="s">
        <v>621</v>
      </c>
      <c r="I4" s="2" t="s">
        <v>781</v>
      </c>
      <c r="J4" s="2">
        <v>9</v>
      </c>
      <c r="K4" s="2">
        <v>47192</v>
      </c>
      <c r="L4" s="2">
        <v>34167</v>
      </c>
      <c r="M4" s="2" t="s">
        <v>1362</v>
      </c>
      <c r="N4" s="2" t="s">
        <v>1364</v>
      </c>
      <c r="O4" s="11"/>
    </row>
    <row r="5" spans="1:15">
      <c r="A5" s="2">
        <v>88933</v>
      </c>
      <c r="B5" s="2" t="s">
        <v>4</v>
      </c>
      <c r="C5" s="2" t="s">
        <v>103</v>
      </c>
      <c r="D5" s="2" t="s">
        <v>114</v>
      </c>
      <c r="E5" s="7" t="s">
        <v>1347</v>
      </c>
      <c r="F5" s="3" t="str">
        <f>HYPERLINK("https://stat100.ameba.jp/tnk47/ratio20/illustrations/card/ill_88933_kamiizuminobutsuna03.jpg", "■")</f>
        <v>■</v>
      </c>
      <c r="G5" s="2" t="s">
        <v>1374</v>
      </c>
      <c r="H5" s="2" t="s">
        <v>1372</v>
      </c>
      <c r="I5" s="2" t="s">
        <v>1382</v>
      </c>
      <c r="J5" s="2">
        <v>9</v>
      </c>
      <c r="K5" s="2">
        <v>24195</v>
      </c>
      <c r="L5" s="2">
        <v>26676</v>
      </c>
      <c r="M5" s="2" t="s">
        <v>1361</v>
      </c>
      <c r="N5" s="2" t="s">
        <v>996</v>
      </c>
      <c r="O5" s="11"/>
    </row>
    <row r="6" spans="1:15">
      <c r="A6" s="2">
        <v>88943</v>
      </c>
      <c r="B6" s="2" t="s">
        <v>4</v>
      </c>
      <c r="C6" s="2" t="s">
        <v>138</v>
      </c>
      <c r="D6" s="2" t="s">
        <v>7</v>
      </c>
      <c r="E6" s="7" t="s">
        <v>1348</v>
      </c>
      <c r="F6" s="3" t="str">
        <f>HYPERLINK("https://stat100.ameba.jp/tnk47/ratio20/illustrations/card/ill_88943_andoroidoboroguruma03.jpg", "■")</f>
        <v>■</v>
      </c>
      <c r="G6" s="2" t="s">
        <v>1375</v>
      </c>
      <c r="H6" s="2" t="s">
        <v>250</v>
      </c>
      <c r="I6" s="2" t="s">
        <v>458</v>
      </c>
      <c r="J6" s="2">
        <v>9</v>
      </c>
      <c r="K6" s="2">
        <v>26676</v>
      </c>
      <c r="L6" s="2">
        <v>24195</v>
      </c>
      <c r="M6" s="2" t="s">
        <v>1360</v>
      </c>
      <c r="N6" s="2" t="s">
        <v>1367</v>
      </c>
      <c r="O6" s="11"/>
    </row>
    <row r="7" spans="1:15">
      <c r="A7" s="2">
        <v>88963</v>
      </c>
      <c r="B7" s="2" t="s">
        <v>10</v>
      </c>
      <c r="C7" s="2" t="s">
        <v>12</v>
      </c>
      <c r="D7" s="2" t="s">
        <v>151</v>
      </c>
      <c r="E7" s="7" t="s">
        <v>1349</v>
      </c>
      <c r="F7" s="3" t="str">
        <f>HYPERLINK("https://stat100.ameba.jp/tnk47/ratio20/illustrations/card/ill_88963_denrimboraikei03.jpg", "■")</f>
        <v>■</v>
      </c>
      <c r="G7" s="2" t="s">
        <v>1378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1359</v>
      </c>
      <c r="N7" s="2" t="s">
        <v>1076</v>
      </c>
      <c r="O7" s="11"/>
    </row>
    <row r="8" spans="1:15">
      <c r="A8" s="2">
        <v>88953</v>
      </c>
      <c r="B8" s="2" t="s">
        <v>10</v>
      </c>
      <c r="C8" s="2" t="s">
        <v>8</v>
      </c>
      <c r="D8" s="2" t="s">
        <v>93</v>
      </c>
      <c r="E8" s="7" t="s">
        <v>1350</v>
      </c>
      <c r="F8" s="3" t="str">
        <f>HYPERLINK("https://stat100.ameba.jp/tnk47/ratio20/illustrations/card/ill_88953_andoroidohoranenya03.jpg", "■")</f>
        <v>■</v>
      </c>
      <c r="G8" s="2" t="s">
        <v>1376</v>
      </c>
      <c r="H8" s="2" t="s">
        <v>515</v>
      </c>
      <c r="I8" s="2" t="s">
        <v>516</v>
      </c>
      <c r="J8" s="2">
        <v>7</v>
      </c>
      <c r="K8" s="2">
        <v>12101</v>
      </c>
      <c r="L8" s="2">
        <v>14554</v>
      </c>
      <c r="M8" s="2" t="s">
        <v>1358</v>
      </c>
      <c r="N8" s="2" t="s">
        <v>335</v>
      </c>
      <c r="O8" s="11"/>
    </row>
    <row r="9" spans="1:15">
      <c r="A9" s="2">
        <v>88973</v>
      </c>
      <c r="B9" s="2" t="s">
        <v>13</v>
      </c>
      <c r="C9" s="2" t="s">
        <v>445</v>
      </c>
      <c r="D9" s="2" t="s">
        <v>93</v>
      </c>
      <c r="E9" s="7" t="s">
        <v>1351</v>
      </c>
      <c r="F9" s="3" t="str">
        <f>HYPERLINK("https://stat100.ameba.jp/tnk47/ratio20/illustrations/card/ill_88973_puramochan03.jpg", "■")</f>
        <v>■</v>
      </c>
      <c r="G9" s="2" t="s">
        <v>1380</v>
      </c>
      <c r="H9" s="2" t="s">
        <v>122</v>
      </c>
      <c r="I9" s="2" t="s">
        <v>1331</v>
      </c>
      <c r="J9" s="2">
        <v>5</v>
      </c>
      <c r="K9" s="2">
        <v>5286</v>
      </c>
      <c r="L9" s="2">
        <v>6294</v>
      </c>
      <c r="M9" s="2" t="s">
        <v>1357</v>
      </c>
      <c r="N9" s="2" t="s">
        <v>443</v>
      </c>
      <c r="O9" s="11"/>
    </row>
    <row r="10" spans="1:15">
      <c r="A10" s="2">
        <v>88983</v>
      </c>
      <c r="B10" s="2" t="s">
        <v>13</v>
      </c>
      <c r="C10" s="2" t="s">
        <v>1354</v>
      </c>
      <c r="D10" s="2" t="s">
        <v>154</v>
      </c>
      <c r="E10" s="7" t="s">
        <v>1352</v>
      </c>
      <c r="F10" s="3" t="str">
        <f>HYPERLINK("https://stat100.ameba.jp/tnk47/ratio20/illustrations/card/ill_88983_suisei03.jpg", "■")</f>
        <v>■</v>
      </c>
      <c r="G10" s="2" t="s">
        <v>1377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1356</v>
      </c>
      <c r="N10" s="2" t="s">
        <v>56</v>
      </c>
      <c r="O10" s="11"/>
    </row>
    <row r="11" spans="1:15">
      <c r="A11" s="2">
        <v>88993</v>
      </c>
      <c r="B11" s="2" t="s">
        <v>13</v>
      </c>
      <c r="C11" s="2" t="s">
        <v>509</v>
      </c>
      <c r="D11" s="2" t="s">
        <v>114</v>
      </c>
      <c r="E11" s="7" t="s">
        <v>1353</v>
      </c>
      <c r="F11" s="3" t="str">
        <f>HYPERLINK("https://stat100.ameba.jp/tnk47/ratio20/illustrations/card/ill_88993_satotadanobu03.jpg", "■")</f>
        <v>■</v>
      </c>
      <c r="G11" s="2" t="s">
        <v>1379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1355</v>
      </c>
      <c r="N11" s="2" t="s">
        <v>716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89093</v>
      </c>
      <c r="B16" s="2" t="s">
        <v>10</v>
      </c>
      <c r="C16" s="2" t="s">
        <v>138</v>
      </c>
      <c r="D16" s="2" t="s">
        <v>128</v>
      </c>
      <c r="E16" s="7" t="s">
        <v>1368</v>
      </c>
      <c r="F16" s="3" t="str">
        <f>HYPERLINK("https://stat100.ameba.jp/tnk47/ratio20/illustrations/card/ill_89093_resukuinasaitsuruchiyo03.jpg", "■")</f>
        <v>■</v>
      </c>
      <c r="G16" s="2" t="s">
        <v>1369</v>
      </c>
      <c r="H16" s="2" t="s">
        <v>926</v>
      </c>
      <c r="I16" s="2" t="s">
        <v>927</v>
      </c>
      <c r="J16" s="2">
        <v>14</v>
      </c>
      <c r="K16" s="2" t="s">
        <v>920</v>
      </c>
      <c r="L16" s="2" t="s">
        <v>920</v>
      </c>
      <c r="M16" s="2" t="s">
        <v>1370</v>
      </c>
      <c r="N16" s="2" t="s">
        <v>210</v>
      </c>
    </row>
  </sheetData>
  <phoneticPr fontId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84E8-3656-46C3-B093-0372E11EFDF6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89553</v>
      </c>
      <c r="B3" s="2" t="s">
        <v>726</v>
      </c>
      <c r="C3" s="2" t="s">
        <v>92</v>
      </c>
      <c r="D3" s="2" t="s">
        <v>114</v>
      </c>
      <c r="E3" s="7" t="s">
        <v>1385</v>
      </c>
      <c r="F3" s="3" t="str">
        <f>HYPERLINK("https://stat100.ameba.jp/tnk47/ratio20/illustrations/card/ill_89553_kyokinokyodanodanobunaga03.jpg", "■")</f>
        <v>■</v>
      </c>
      <c r="G3" s="2" t="s">
        <v>1404</v>
      </c>
      <c r="H3" s="2" t="s">
        <v>1420</v>
      </c>
      <c r="I3" s="2" t="s">
        <v>856</v>
      </c>
      <c r="J3" s="2">
        <v>17</v>
      </c>
      <c r="K3" s="2">
        <v>105757</v>
      </c>
      <c r="L3" s="2">
        <v>98329</v>
      </c>
      <c r="M3" s="2" t="s">
        <v>1386</v>
      </c>
      <c r="N3" s="2" t="s">
        <v>1416</v>
      </c>
      <c r="O3" s="11" t="s">
        <v>1801</v>
      </c>
    </row>
    <row r="4" spans="1:15">
      <c r="A4" s="2">
        <v>89635</v>
      </c>
      <c r="B4" s="2" t="s">
        <v>726</v>
      </c>
      <c r="C4" s="2" t="s">
        <v>1418</v>
      </c>
      <c r="D4" s="2" t="s">
        <v>154</v>
      </c>
      <c r="E4" s="7" t="s">
        <v>1387</v>
      </c>
      <c r="F4" s="3" t="str">
        <f>HYPERLINK("https://stat100.ameba.jp/tnk47/ratio20/illustrations/card/ill_89635_tensonkourin05.jpg", "■")</f>
        <v>■</v>
      </c>
      <c r="G4" s="2" t="s">
        <v>1405</v>
      </c>
      <c r="H4" s="2" t="s">
        <v>621</v>
      </c>
      <c r="I4" s="2" t="s">
        <v>781</v>
      </c>
      <c r="J4" s="2">
        <v>9</v>
      </c>
      <c r="K4" s="2">
        <v>30637</v>
      </c>
      <c r="L4" s="2">
        <v>42317</v>
      </c>
      <c r="M4" s="2" t="s">
        <v>1388</v>
      </c>
      <c r="N4" s="2" t="s">
        <v>1417</v>
      </c>
      <c r="O4" s="11"/>
    </row>
    <row r="5" spans="1:15">
      <c r="A5" s="2">
        <v>89563</v>
      </c>
      <c r="B5" s="2" t="s">
        <v>4</v>
      </c>
      <c r="C5" s="2" t="s">
        <v>8</v>
      </c>
      <c r="D5" s="2" t="s">
        <v>7</v>
      </c>
      <c r="E5" s="7" t="s">
        <v>1389</v>
      </c>
      <c r="F5" s="3" t="str">
        <f>HYPERLINK("https://stat100.ameba.jp/tnk47/ratio20/illustrations/card/ill_89563_kogarasu03.jpg", "■")</f>
        <v>■</v>
      </c>
      <c r="G5" s="2" t="s">
        <v>1406</v>
      </c>
      <c r="H5" s="2" t="s">
        <v>1419</v>
      </c>
      <c r="I5" s="2" t="s">
        <v>1667</v>
      </c>
      <c r="J5" s="2">
        <v>9</v>
      </c>
      <c r="K5" s="2">
        <v>24195</v>
      </c>
      <c r="L5" s="2">
        <v>26676</v>
      </c>
      <c r="M5" s="2" t="s">
        <v>1390</v>
      </c>
      <c r="N5" s="2" t="s">
        <v>1013</v>
      </c>
      <c r="O5" s="11"/>
    </row>
    <row r="6" spans="1:15">
      <c r="A6" s="2">
        <v>89573</v>
      </c>
      <c r="B6" s="2" t="s">
        <v>4</v>
      </c>
      <c r="C6" s="2" t="s">
        <v>103</v>
      </c>
      <c r="D6" s="2" t="s">
        <v>118</v>
      </c>
      <c r="E6" s="7" t="s">
        <v>1391</v>
      </c>
      <c r="F6" s="3" t="str">
        <f>HYPERLINK("https://stat100.ameba.jp/tnk47/ratio20/illustrations/card/ill_89573_burakkukatsukaishu03.jpg", "■")</f>
        <v>■</v>
      </c>
      <c r="G6" s="2" t="s">
        <v>1407</v>
      </c>
      <c r="H6" s="2" t="s">
        <v>250</v>
      </c>
      <c r="I6" s="2" t="s">
        <v>458</v>
      </c>
      <c r="J6" s="2">
        <v>9</v>
      </c>
      <c r="K6" s="2">
        <v>26676</v>
      </c>
      <c r="L6" s="2">
        <v>24195</v>
      </c>
      <c r="M6" s="2" t="s">
        <v>1392</v>
      </c>
      <c r="N6" s="2" t="s">
        <v>1050</v>
      </c>
      <c r="O6" s="11"/>
    </row>
    <row r="7" spans="1:15">
      <c r="A7" s="2">
        <v>89593</v>
      </c>
      <c r="B7" s="2" t="s">
        <v>10</v>
      </c>
      <c r="C7" s="2" t="s">
        <v>98</v>
      </c>
      <c r="D7" s="2" t="s">
        <v>7</v>
      </c>
      <c r="E7" s="7" t="s">
        <v>1393</v>
      </c>
      <c r="F7" s="3" t="str">
        <f>HYPERLINK("https://stat100.ameba.jp/tnk47/ratio20/illustrations/card/ill_89593_ammo03.jpg", "■")</f>
        <v>■</v>
      </c>
      <c r="G7" s="2" t="s">
        <v>1408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1394</v>
      </c>
      <c r="N7" s="2" t="s">
        <v>1080</v>
      </c>
      <c r="O7" s="11"/>
    </row>
    <row r="8" spans="1:15">
      <c r="A8" s="2">
        <v>89583</v>
      </c>
      <c r="B8" s="2" t="s">
        <v>10</v>
      </c>
      <c r="C8" s="2" t="s">
        <v>138</v>
      </c>
      <c r="D8" s="2" t="s">
        <v>7</v>
      </c>
      <c r="E8" s="7" t="s">
        <v>1395</v>
      </c>
      <c r="F8" s="3" t="str">
        <f>HYPERLINK("https://stat100.ameba.jp/tnk47/ratio20/illustrations/card/ill_89583_daimaoshutendoji03.jpg", "■")</f>
        <v>■</v>
      </c>
      <c r="G8" s="2" t="s">
        <v>1409</v>
      </c>
      <c r="H8" s="2" t="s">
        <v>64</v>
      </c>
      <c r="I8" s="2" t="s">
        <v>126</v>
      </c>
      <c r="J8" s="2">
        <v>7</v>
      </c>
      <c r="K8" s="2">
        <v>12101</v>
      </c>
      <c r="L8" s="2">
        <v>14554</v>
      </c>
      <c r="M8" s="2" t="s">
        <v>1396</v>
      </c>
      <c r="N8" s="2" t="s">
        <v>11</v>
      </c>
      <c r="O8" s="11"/>
    </row>
    <row r="9" spans="1:15">
      <c r="A9" s="2">
        <v>89603</v>
      </c>
      <c r="B9" s="2" t="s">
        <v>13</v>
      </c>
      <c r="C9" s="2" t="s">
        <v>379</v>
      </c>
      <c r="D9" s="2" t="s">
        <v>114</v>
      </c>
      <c r="E9" s="7" t="s">
        <v>1397</v>
      </c>
      <c r="F9" s="3" t="str">
        <f>HYPERLINK("https://stat100.ameba.jp/tnk47/ratio20/illustrations/card/ill_89603_ohmurasumitada03.jpg", "■")</f>
        <v>■</v>
      </c>
      <c r="G9" s="2" t="s">
        <v>1410</v>
      </c>
      <c r="H9" s="2" t="s">
        <v>122</v>
      </c>
      <c r="I9" s="2" t="s">
        <v>1331</v>
      </c>
      <c r="J9" s="2">
        <v>5</v>
      </c>
      <c r="K9" s="2">
        <v>5286</v>
      </c>
      <c r="L9" s="2">
        <v>6294</v>
      </c>
      <c r="M9" s="2" t="s">
        <v>1398</v>
      </c>
      <c r="N9" s="2" t="s">
        <v>59</v>
      </c>
      <c r="O9" s="11"/>
    </row>
    <row r="10" spans="1:15">
      <c r="A10" s="2">
        <v>89613</v>
      </c>
      <c r="B10" s="2" t="s">
        <v>13</v>
      </c>
      <c r="C10" s="2" t="s">
        <v>299</v>
      </c>
      <c r="D10" s="2" t="s">
        <v>114</v>
      </c>
      <c r="E10" s="7" t="s">
        <v>1399</v>
      </c>
      <c r="F10" s="3" t="str">
        <f>HYPERLINK("https://stat100.ameba.jp/tnk47/ratio20/illustrations/card/ill_89613_miyoshisanninshu03.jpg", "■")</f>
        <v>■</v>
      </c>
      <c r="G10" s="2" t="s">
        <v>1411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1400</v>
      </c>
      <c r="N10" s="2" t="s">
        <v>217</v>
      </c>
      <c r="O10" s="11"/>
    </row>
    <row r="11" spans="1:15">
      <c r="A11" s="2">
        <v>89623</v>
      </c>
      <c r="B11" s="2" t="s">
        <v>13</v>
      </c>
      <c r="C11" s="2" t="s">
        <v>1402</v>
      </c>
      <c r="D11" s="2" t="s">
        <v>114</v>
      </c>
      <c r="E11" s="7" t="s">
        <v>1401</v>
      </c>
      <c r="F11" s="3" t="str">
        <f>HYPERLINK("https://stat100.ameba.jp/tnk47/ratio20/illustrations/card/ill_89623_yamamotokansuke03.jpg", "■")</f>
        <v>■</v>
      </c>
      <c r="G11" s="2" t="s">
        <v>1412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1403</v>
      </c>
      <c r="N11" s="2" t="s">
        <v>418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H14" s="2" t="s">
        <v>926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89723</v>
      </c>
      <c r="B16" s="2" t="s">
        <v>10</v>
      </c>
      <c r="C16" s="2" t="s">
        <v>103</v>
      </c>
      <c r="D16" s="2" t="s">
        <v>93</v>
      </c>
      <c r="E16" s="7" t="s">
        <v>1413</v>
      </c>
      <c r="F16" s="3" t="str">
        <f>HYPERLINK("https://stat100.ameba.jp/tnk47/ratio20/illustrations/card/ill_89723_uedeinguchin03.jpg", "■")</f>
        <v>■</v>
      </c>
      <c r="G16" s="2" t="s">
        <v>1414</v>
      </c>
      <c r="J16" s="2">
        <v>14</v>
      </c>
      <c r="K16" s="2" t="s">
        <v>920</v>
      </c>
      <c r="L16" s="2" t="s">
        <v>920</v>
      </c>
      <c r="M16" s="2" t="s">
        <v>1415</v>
      </c>
      <c r="N16" s="2" t="s">
        <v>185</v>
      </c>
    </row>
  </sheetData>
  <phoneticPr fontId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36537-7BDD-4812-AEC4-C1715D94FDA7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90243</v>
      </c>
      <c r="B3" s="2" t="s">
        <v>726</v>
      </c>
      <c r="C3" s="2" t="s">
        <v>92</v>
      </c>
      <c r="D3" s="2" t="s">
        <v>154</v>
      </c>
      <c r="E3" s="7" t="s">
        <v>1421</v>
      </c>
      <c r="F3" s="3" t="str">
        <f>HYPERLINK("https://stat100.ameba.jp/tnk47/ratio20/illustrations/card/ill_90243_daikaizokunoboreiamaterasu03.jpg", "■")</f>
        <v>■</v>
      </c>
      <c r="G3" s="2" t="s">
        <v>1575</v>
      </c>
      <c r="H3" s="2" t="s">
        <v>1479</v>
      </c>
      <c r="I3" s="2" t="s">
        <v>876</v>
      </c>
      <c r="J3" s="2">
        <v>17</v>
      </c>
      <c r="K3" s="2">
        <v>72569</v>
      </c>
      <c r="L3" s="2">
        <v>67463</v>
      </c>
      <c r="M3" s="2" t="s">
        <v>1422</v>
      </c>
      <c r="N3" s="2" t="s">
        <v>1443</v>
      </c>
      <c r="O3" s="11" t="s">
        <v>2178</v>
      </c>
    </row>
    <row r="4" spans="1:15">
      <c r="A4" s="2">
        <v>90325</v>
      </c>
      <c r="B4" s="2" t="s">
        <v>726</v>
      </c>
      <c r="C4" s="2" t="s">
        <v>681</v>
      </c>
      <c r="D4" s="2" t="s">
        <v>53</v>
      </c>
      <c r="E4" s="7" t="s">
        <v>1423</v>
      </c>
      <c r="F4" s="3" t="str">
        <f>HYPERLINK("https://stat100.ameba.jp/tnk47/ratio20/illustrations/card/ill_90325_yokosukakaigunkare05.jpg", "■")</f>
        <v>■</v>
      </c>
      <c r="G4" s="2" t="s">
        <v>1576</v>
      </c>
      <c r="H4" s="2" t="s">
        <v>621</v>
      </c>
      <c r="I4" s="2" t="s">
        <v>1483</v>
      </c>
      <c r="J4" s="2">
        <v>9</v>
      </c>
      <c r="K4" s="2">
        <v>48998</v>
      </c>
      <c r="L4" s="2">
        <v>35482</v>
      </c>
      <c r="M4" s="2" t="s">
        <v>1424</v>
      </c>
      <c r="N4" s="2" t="s">
        <v>39</v>
      </c>
      <c r="O4" s="11"/>
    </row>
    <row r="5" spans="1:15">
      <c r="A5" s="2">
        <v>90253</v>
      </c>
      <c r="B5" s="2" t="s">
        <v>4</v>
      </c>
      <c r="C5" s="2" t="s">
        <v>98</v>
      </c>
      <c r="D5" s="2" t="s">
        <v>118</v>
      </c>
      <c r="E5" s="7" t="s">
        <v>1425</v>
      </c>
      <c r="F5" s="3" t="str">
        <f>HYPERLINK("https://stat100.ameba.jp/tnk47/ratio20/illustrations/card/ill_90253_daikokaijidainiijimayae03.jpg", "■")</f>
        <v>■</v>
      </c>
      <c r="G5" s="2" t="s">
        <v>1577</v>
      </c>
      <c r="H5" s="2" t="s">
        <v>487</v>
      </c>
      <c r="I5" s="2" t="s">
        <v>1670</v>
      </c>
      <c r="J5" s="2">
        <v>9</v>
      </c>
      <c r="K5" s="2">
        <v>24195</v>
      </c>
      <c r="L5" s="2">
        <v>26676</v>
      </c>
      <c r="M5" s="2" t="s">
        <v>1426</v>
      </c>
      <c r="N5" s="2" t="s">
        <v>1065</v>
      </c>
      <c r="O5" s="11"/>
    </row>
    <row r="6" spans="1:15">
      <c r="A6" s="2">
        <v>90263</v>
      </c>
      <c r="B6" s="2" t="s">
        <v>4</v>
      </c>
      <c r="C6" s="2" t="s">
        <v>12</v>
      </c>
      <c r="D6" s="2" t="s">
        <v>53</v>
      </c>
      <c r="E6" s="7" t="s">
        <v>1427</v>
      </c>
      <c r="F6" s="3" t="str">
        <f>HYPERLINK("https://stat100.ameba.jp/tnk47/ratio20/illustrations/card/ill_90263_daikokaijidaiawamorichan03.jpg", "■")</f>
        <v>■</v>
      </c>
      <c r="G6" s="2" t="s">
        <v>1578</v>
      </c>
      <c r="H6" s="2" t="s">
        <v>250</v>
      </c>
      <c r="I6" s="2" t="s">
        <v>1669</v>
      </c>
      <c r="J6" s="2">
        <v>9</v>
      </c>
      <c r="K6" s="2">
        <v>26676</v>
      </c>
      <c r="L6" s="2">
        <v>24195</v>
      </c>
      <c r="M6" s="2" t="s">
        <v>1428</v>
      </c>
      <c r="N6" s="2" t="s">
        <v>1444</v>
      </c>
      <c r="O6" s="2" t="s">
        <v>1821</v>
      </c>
    </row>
    <row r="7" spans="1:15">
      <c r="A7" s="2">
        <v>90283</v>
      </c>
      <c r="B7" s="2" t="s">
        <v>10</v>
      </c>
      <c r="C7" s="2" t="s">
        <v>98</v>
      </c>
      <c r="D7" s="2" t="s">
        <v>114</v>
      </c>
      <c r="E7" s="7" t="s">
        <v>1429</v>
      </c>
      <c r="F7" s="3" t="str">
        <f>HYPERLINK("https://stat100.ameba.jp/tnk47/ratio20/illustrations/card/ill_90283_kaigunonamihime03.jpg", "■")</f>
        <v>■</v>
      </c>
      <c r="G7" s="2" t="s">
        <v>1571</v>
      </c>
      <c r="H7" s="2" t="s">
        <v>19</v>
      </c>
      <c r="I7" s="2" t="s">
        <v>83</v>
      </c>
      <c r="J7" s="2">
        <v>11</v>
      </c>
      <c r="K7" s="2">
        <v>22871</v>
      </c>
      <c r="L7" s="2">
        <v>19016</v>
      </c>
      <c r="M7" s="2" t="s">
        <v>1430</v>
      </c>
      <c r="N7" s="2" t="s">
        <v>1445</v>
      </c>
      <c r="O7" s="11"/>
    </row>
    <row r="8" spans="1:15">
      <c r="A8" s="2">
        <v>90273</v>
      </c>
      <c r="B8" s="2" t="s">
        <v>10</v>
      </c>
      <c r="C8" s="2" t="s">
        <v>8</v>
      </c>
      <c r="D8" s="2" t="s">
        <v>151</v>
      </c>
      <c r="E8" s="7" t="s">
        <v>1431</v>
      </c>
      <c r="F8" s="3" t="str">
        <f>HYPERLINK("https://stat100.ameba.jp/tnk47/ratio20/illustrations/card/ill_90273_dagurasu03.jpg", "■")</f>
        <v>■</v>
      </c>
      <c r="G8" s="2" t="s">
        <v>1579</v>
      </c>
      <c r="H8" s="2" t="s">
        <v>64</v>
      </c>
      <c r="I8" s="2" t="s">
        <v>1668</v>
      </c>
      <c r="J8" s="2">
        <v>7</v>
      </c>
      <c r="K8" s="2">
        <v>12101</v>
      </c>
      <c r="L8" s="2">
        <v>14554</v>
      </c>
      <c r="M8" s="2" t="s">
        <v>1432</v>
      </c>
      <c r="N8" s="2" t="s">
        <v>883</v>
      </c>
      <c r="O8" s="11"/>
    </row>
    <row r="9" spans="1:15">
      <c r="A9" s="2">
        <v>90293</v>
      </c>
      <c r="B9" s="2" t="s">
        <v>13</v>
      </c>
      <c r="C9" s="2" t="s">
        <v>506</v>
      </c>
      <c r="D9" s="2" t="s">
        <v>93</v>
      </c>
      <c r="E9" s="7" t="s">
        <v>1433</v>
      </c>
      <c r="F9" s="3" t="str">
        <f>HYPERLINK("https://stat100.ameba.jp/tnk47/ratio20/illustrations/card/ill_90293_hanamizugiakashitakochan03.jpg", "■")</f>
        <v>■</v>
      </c>
      <c r="G9" s="2" t="s">
        <v>1572</v>
      </c>
      <c r="H9" s="2" t="s">
        <v>122</v>
      </c>
      <c r="I9" s="2" t="s">
        <v>1331</v>
      </c>
      <c r="J9" s="2">
        <v>5</v>
      </c>
      <c r="K9" s="2">
        <v>5286</v>
      </c>
      <c r="L9" s="2">
        <v>6294</v>
      </c>
      <c r="M9" s="2" t="s">
        <v>1434</v>
      </c>
      <c r="N9" s="2" t="s">
        <v>443</v>
      </c>
      <c r="O9" s="11"/>
    </row>
    <row r="10" spans="1:15">
      <c r="A10" s="2">
        <v>90303</v>
      </c>
      <c r="B10" s="2" t="s">
        <v>13</v>
      </c>
      <c r="C10" s="2" t="s">
        <v>9</v>
      </c>
      <c r="D10" s="2" t="s">
        <v>53</v>
      </c>
      <c r="E10" s="7" t="s">
        <v>1436</v>
      </c>
      <c r="F10" s="3" t="str">
        <f>HYPERLINK("https://stat100.ameba.jp/tnk47/ratio20/illustrations/card/ill_90303_umibirakigyozachan03.jpg", "■")</f>
        <v>■</v>
      </c>
      <c r="G10" s="2" t="s">
        <v>1573</v>
      </c>
      <c r="H10" s="2" t="s">
        <v>122</v>
      </c>
      <c r="I10" s="2" t="s">
        <v>123</v>
      </c>
      <c r="J10" s="2">
        <v>10</v>
      </c>
      <c r="K10" s="2">
        <v>12588</v>
      </c>
      <c r="L10" s="2">
        <v>10572</v>
      </c>
      <c r="M10" s="2" t="s">
        <v>1435</v>
      </c>
      <c r="N10" s="2" t="s">
        <v>382</v>
      </c>
      <c r="O10" s="11"/>
    </row>
    <row r="11" spans="1:15">
      <c r="A11" s="2">
        <v>90313</v>
      </c>
      <c r="B11" s="2" t="s">
        <v>13</v>
      </c>
      <c r="C11" s="2" t="s">
        <v>1439</v>
      </c>
      <c r="D11" s="2" t="s">
        <v>114</v>
      </c>
      <c r="E11" s="7" t="s">
        <v>1438</v>
      </c>
      <c r="F11" s="3" t="str">
        <f>HYPERLINK("https://stat100.ameba.jp/tnk47/ratio20/illustrations/card/ill_90313_kaigunakaiteruko03.jpg", "■")</f>
        <v>■</v>
      </c>
      <c r="G11" s="2" t="s">
        <v>1574</v>
      </c>
      <c r="H11" s="2" t="s">
        <v>122</v>
      </c>
      <c r="I11" s="2" t="s">
        <v>123</v>
      </c>
      <c r="J11" s="2">
        <v>10</v>
      </c>
      <c r="K11" s="2">
        <v>10572</v>
      </c>
      <c r="L11" s="2">
        <v>12588</v>
      </c>
      <c r="M11" s="2" t="s">
        <v>1437</v>
      </c>
      <c r="N11" s="2" t="s">
        <v>716</v>
      </c>
      <c r="O11" s="11"/>
    </row>
    <row r="13" spans="1:15">
      <c r="A13" s="2" t="s">
        <v>1817</v>
      </c>
    </row>
    <row r="14" spans="1:15">
      <c r="A14" s="2">
        <v>64893</v>
      </c>
      <c r="B14" s="2" t="s">
        <v>726</v>
      </c>
      <c r="C14" s="2" t="s">
        <v>42</v>
      </c>
      <c r="D14" s="2" t="s">
        <v>40</v>
      </c>
      <c r="E14" s="7" t="s">
        <v>1161</v>
      </c>
      <c r="F14" s="3" t="str">
        <f>HYPERLINK("https://stat100.ameba.jp/tnk47/ratio20/illustrations/card/ill_64893_yukataonamihime03.jpg", "■")</f>
        <v>■</v>
      </c>
      <c r="G14" s="2" t="s">
        <v>919</v>
      </c>
      <c r="J14" s="2">
        <v>14</v>
      </c>
      <c r="K14" s="2" t="s">
        <v>920</v>
      </c>
      <c r="L14" s="2" t="s">
        <v>920</v>
      </c>
      <c r="M14" s="2" t="s">
        <v>921</v>
      </c>
      <c r="N14" s="2" t="s">
        <v>1365</v>
      </c>
    </row>
    <row r="15" spans="1:15">
      <c r="A15" s="2">
        <v>51893</v>
      </c>
      <c r="B15" s="2" t="s">
        <v>726</v>
      </c>
      <c r="C15" s="2" t="s">
        <v>634</v>
      </c>
      <c r="D15" s="2" t="s">
        <v>33</v>
      </c>
      <c r="E15" s="7" t="s">
        <v>1162</v>
      </c>
      <c r="F15" s="3" t="str">
        <f>HYPERLINK("https://stat100.ameba.jp/tnk47/ratio20/illustrations/card/ill_51893_kemonomizugitakachihonomine03.jpg", "■")</f>
        <v>■</v>
      </c>
      <c r="G15" s="2" t="s">
        <v>922</v>
      </c>
      <c r="H15" s="2" t="s">
        <v>926</v>
      </c>
      <c r="J15" s="2">
        <v>14</v>
      </c>
      <c r="K15" s="2" t="s">
        <v>920</v>
      </c>
      <c r="L15" s="2" t="s">
        <v>920</v>
      </c>
      <c r="M15" s="2" t="s">
        <v>923</v>
      </c>
      <c r="N15" s="2" t="s">
        <v>1366</v>
      </c>
    </row>
    <row r="16" spans="1:15">
      <c r="A16" s="2">
        <v>90413</v>
      </c>
      <c r="B16" s="2" t="s">
        <v>10</v>
      </c>
      <c r="C16" s="2" t="s">
        <v>12</v>
      </c>
      <c r="D16" s="2" t="s">
        <v>53</v>
      </c>
      <c r="E16" s="7" t="s">
        <v>1440</v>
      </c>
      <c r="F16" s="3" t="str">
        <f>HYPERLINK("https://stat100.ameba.jp/tnk47/ratio20/illustrations/card/ill_90413_haibisukasutei03.jpg", "■")</f>
        <v>■</v>
      </c>
      <c r="G16" s="2" t="s">
        <v>1441</v>
      </c>
      <c r="J16" s="2">
        <v>14</v>
      </c>
      <c r="K16" s="2" t="s">
        <v>920</v>
      </c>
      <c r="L16" s="2" t="s">
        <v>920</v>
      </c>
      <c r="M16" s="2" t="s">
        <v>1442</v>
      </c>
      <c r="N16" s="2" t="s">
        <v>940</v>
      </c>
    </row>
  </sheetData>
  <phoneticPr fontId="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F246C-A47C-4852-9EE1-FC53619F527F}">
  <dimension ref="A1:O34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 t="s">
        <v>1565</v>
      </c>
      <c r="E3" s="3"/>
      <c r="F3" s="3"/>
    </row>
    <row r="4" spans="1:15">
      <c r="A4" s="2" t="s">
        <v>1564</v>
      </c>
      <c r="E4" s="3"/>
      <c r="F4" s="3"/>
    </row>
    <row r="5" spans="1:15">
      <c r="E5" s="3"/>
      <c r="F5" s="3"/>
    </row>
    <row r="6" spans="1:15">
      <c r="A6" s="2">
        <v>90923</v>
      </c>
      <c r="B6" s="2" t="s">
        <v>726</v>
      </c>
      <c r="C6" s="2" t="s">
        <v>92</v>
      </c>
      <c r="D6" s="2" t="s">
        <v>118</v>
      </c>
      <c r="E6" s="7" t="s">
        <v>1456</v>
      </c>
      <c r="F6" s="3" t="str">
        <f>HYPERLINK("https://stat100.ameba.jp/tnk47/ratio20/illustrations/card/ill_90923_mizugiaidorusuikotenno03.jpg", "■")</f>
        <v>■</v>
      </c>
      <c r="G6" s="2" t="s">
        <v>1580</v>
      </c>
      <c r="H6" s="2" t="s">
        <v>1480</v>
      </c>
      <c r="I6" s="2" t="s">
        <v>2179</v>
      </c>
      <c r="J6" s="2">
        <v>17</v>
      </c>
      <c r="K6" s="2">
        <v>64591</v>
      </c>
      <c r="L6" s="2">
        <v>69489</v>
      </c>
      <c r="M6" s="2" t="s">
        <v>1455</v>
      </c>
      <c r="N6" s="2" t="s">
        <v>1454</v>
      </c>
      <c r="O6" s="2" t="s">
        <v>2176</v>
      </c>
    </row>
    <row r="7" spans="1:15">
      <c r="A7" s="2">
        <v>91005</v>
      </c>
      <c r="B7" s="2" t="s">
        <v>726</v>
      </c>
      <c r="C7" s="2" t="s">
        <v>551</v>
      </c>
      <c r="D7" s="2" t="s">
        <v>93</v>
      </c>
      <c r="E7" s="7" t="s">
        <v>1458</v>
      </c>
      <c r="F7" s="3" t="str">
        <f>HYPERLINK("https://stat100.ameba.jp/tnk47/ratio20/illustrations/card/ill_91005_shiroiruka05.jpg", "■")</f>
        <v>■</v>
      </c>
      <c r="G7" s="2" t="s">
        <v>1581</v>
      </c>
      <c r="H7" s="2" t="s">
        <v>1566</v>
      </c>
      <c r="I7" s="2" t="s">
        <v>1672</v>
      </c>
      <c r="J7" s="2">
        <v>13</v>
      </c>
      <c r="K7" s="2">
        <v>49353</v>
      </c>
      <c r="L7" s="2">
        <v>68167</v>
      </c>
      <c r="M7" s="2" t="s">
        <v>1457</v>
      </c>
      <c r="N7" s="2" t="s">
        <v>1474</v>
      </c>
      <c r="O7" s="11"/>
    </row>
    <row r="8" spans="1:15">
      <c r="A8" s="2">
        <v>90933</v>
      </c>
      <c r="B8" s="2" t="s">
        <v>4</v>
      </c>
      <c r="C8" s="2" t="s">
        <v>138</v>
      </c>
      <c r="D8" s="2" t="s">
        <v>7</v>
      </c>
      <c r="E8" s="7" t="s">
        <v>1460</v>
      </c>
      <c r="F8" s="3" t="str">
        <f>HYPERLINK("https://stat100.ameba.jp/tnk47/ratio20/illustrations/card/ill_90933_umibirakitesso03.jpg", "■")</f>
        <v>■</v>
      </c>
      <c r="G8" s="2" t="s">
        <v>1582</v>
      </c>
      <c r="H8" s="2" t="s">
        <v>1482</v>
      </c>
      <c r="I8" s="2" t="s">
        <v>1673</v>
      </c>
      <c r="J8" s="2">
        <v>13</v>
      </c>
      <c r="K8" s="2">
        <v>38532</v>
      </c>
      <c r="L8" s="2">
        <v>34949</v>
      </c>
      <c r="M8" s="2" t="s">
        <v>1459</v>
      </c>
      <c r="N8" s="2" t="s">
        <v>987</v>
      </c>
      <c r="O8" s="11"/>
    </row>
    <row r="9" spans="1:15">
      <c r="A9" s="2">
        <v>90943</v>
      </c>
      <c r="B9" s="2" t="s">
        <v>4</v>
      </c>
      <c r="C9" s="2" t="s">
        <v>103</v>
      </c>
      <c r="D9" s="2" t="s">
        <v>53</v>
      </c>
      <c r="E9" s="7" t="s">
        <v>1462</v>
      </c>
      <c r="F9" s="3" t="str">
        <f>HYPERLINK("https://stat100.ameba.jp/tnk47/ratio20/illustrations/card/ill_90943_hanamizugiiwashichan03.jpg", "■")</f>
        <v>■</v>
      </c>
      <c r="G9" s="2" t="s">
        <v>1583</v>
      </c>
      <c r="H9" s="2" t="s">
        <v>1481</v>
      </c>
      <c r="I9" s="2" t="s">
        <v>1671</v>
      </c>
      <c r="J9" s="2">
        <v>13</v>
      </c>
      <c r="K9" s="2">
        <v>34949</v>
      </c>
      <c r="L9" s="2">
        <v>38532</v>
      </c>
      <c r="M9" s="2" t="s">
        <v>1461</v>
      </c>
      <c r="N9" s="2" t="s">
        <v>1475</v>
      </c>
      <c r="O9" s="11"/>
    </row>
    <row r="10" spans="1:15">
      <c r="A10" s="2">
        <v>90963</v>
      </c>
      <c r="B10" s="2" t="s">
        <v>10</v>
      </c>
      <c r="C10" s="2" t="s">
        <v>98</v>
      </c>
      <c r="D10" s="2" t="s">
        <v>93</v>
      </c>
      <c r="E10" s="7" t="s">
        <v>1464</v>
      </c>
      <c r="F10" s="3" t="str">
        <f>HYPERLINK("https://stat100.ameba.jp/tnk47/ratio20/illustrations/card/ill_90963_umibirakiakabeko03.jpg", "■")</f>
        <v>■</v>
      </c>
      <c r="G10" s="2" t="s">
        <v>1567</v>
      </c>
      <c r="H10" s="2" t="s">
        <v>1447</v>
      </c>
      <c r="I10" s="2" t="s">
        <v>1448</v>
      </c>
      <c r="J10" s="2">
        <v>15</v>
      </c>
      <c r="K10" s="2">
        <v>25932</v>
      </c>
      <c r="L10" s="2">
        <v>31188</v>
      </c>
      <c r="M10" s="2" t="s">
        <v>1463</v>
      </c>
      <c r="N10" s="2" t="s">
        <v>1476</v>
      </c>
      <c r="O10" s="11"/>
    </row>
    <row r="11" spans="1:15">
      <c r="A11" s="2">
        <v>90953</v>
      </c>
      <c r="B11" s="2" t="s">
        <v>10</v>
      </c>
      <c r="C11" s="2" t="s">
        <v>8</v>
      </c>
      <c r="D11" s="2" t="s">
        <v>154</v>
      </c>
      <c r="E11" s="7" t="s">
        <v>1466</v>
      </c>
      <c r="F11" s="3" t="str">
        <f>HYPERLINK("https://stat100.ameba.jp/tnk47/ratio20/illustrations/card/ill_90953_enjierurodo03.jpg", "■")</f>
        <v>■</v>
      </c>
      <c r="G11" s="2" t="s">
        <v>1584</v>
      </c>
      <c r="H11" s="2" t="s">
        <v>283</v>
      </c>
      <c r="I11" s="2" t="s">
        <v>1664</v>
      </c>
      <c r="J11" s="2">
        <v>11</v>
      </c>
      <c r="K11" s="2">
        <v>22871</v>
      </c>
      <c r="L11" s="2">
        <v>19016</v>
      </c>
      <c r="M11" s="2" t="s">
        <v>1465</v>
      </c>
      <c r="N11" s="2" t="s">
        <v>534</v>
      </c>
      <c r="O11" s="11"/>
    </row>
    <row r="12" spans="1:15">
      <c r="A12" s="2">
        <v>90973</v>
      </c>
      <c r="B12" s="2" t="s">
        <v>13</v>
      </c>
      <c r="C12" s="2" t="s">
        <v>373</v>
      </c>
      <c r="D12" s="2" t="s">
        <v>93</v>
      </c>
      <c r="E12" s="7" t="s">
        <v>1468</v>
      </c>
      <c r="F12" s="3" t="str">
        <f>HYPERLINK("https://stat100.ameba.jp/tnk47/ratio20/illustrations/card/ill_90973_tsumakurenai03.jpg", "■")</f>
        <v>■</v>
      </c>
      <c r="G12" s="2" t="s">
        <v>1568</v>
      </c>
      <c r="H12" s="2" t="s">
        <v>122</v>
      </c>
      <c r="I12" s="2" t="s">
        <v>1446</v>
      </c>
      <c r="J12" s="2">
        <v>9</v>
      </c>
      <c r="K12" s="2">
        <v>11329</v>
      </c>
      <c r="L12" s="2">
        <v>9514</v>
      </c>
      <c r="M12" s="2" t="s">
        <v>1467</v>
      </c>
      <c r="N12" s="2" t="s">
        <v>63</v>
      </c>
      <c r="O12" s="11"/>
    </row>
    <row r="13" spans="1:15">
      <c r="A13" s="2">
        <v>90983</v>
      </c>
      <c r="B13" s="2" t="s">
        <v>13</v>
      </c>
      <c r="C13" s="2" t="s">
        <v>416</v>
      </c>
      <c r="D13" s="2" t="s">
        <v>7</v>
      </c>
      <c r="E13" s="7" t="s">
        <v>1470</v>
      </c>
      <c r="F13" s="3" t="str">
        <f>HYPERLINK("https://stat100.ameba.jp/tnk47/ratio20/illustrations/card/ill_90983_yamatanoorochinomiko03.jpg", "■")</f>
        <v>■</v>
      </c>
      <c r="G13" s="2" t="s">
        <v>1569</v>
      </c>
      <c r="H13" s="2" t="s">
        <v>122</v>
      </c>
      <c r="I13" s="2" t="s">
        <v>123</v>
      </c>
      <c r="J13" s="2">
        <v>10</v>
      </c>
      <c r="K13" s="2">
        <v>10572</v>
      </c>
      <c r="L13" s="2">
        <v>12588</v>
      </c>
      <c r="M13" s="2" t="s">
        <v>1469</v>
      </c>
      <c r="N13" s="2" t="s">
        <v>14</v>
      </c>
      <c r="O13" s="11"/>
    </row>
    <row r="14" spans="1:15">
      <c r="A14" s="2">
        <v>90993</v>
      </c>
      <c r="B14" s="2" t="s">
        <v>13</v>
      </c>
      <c r="C14" s="2" t="s">
        <v>103</v>
      </c>
      <c r="D14" s="2" t="s">
        <v>7</v>
      </c>
      <c r="E14" s="7" t="s">
        <v>1473</v>
      </c>
      <c r="F14" s="3" t="str">
        <f>HYPERLINK("https://stat100.ameba.jp/tnk47/ratio20/illustrations/card/ill_90993_meianhanakosan03.jpg", "■")</f>
        <v>■</v>
      </c>
      <c r="G14" s="2" t="s">
        <v>1570</v>
      </c>
      <c r="H14" s="2" t="s">
        <v>122</v>
      </c>
      <c r="I14" s="2" t="s">
        <v>123</v>
      </c>
      <c r="J14" s="2">
        <v>10</v>
      </c>
      <c r="K14" s="2">
        <v>12588</v>
      </c>
      <c r="L14" s="2">
        <v>10572</v>
      </c>
      <c r="M14" s="2" t="s">
        <v>1472</v>
      </c>
      <c r="N14" s="2" t="s">
        <v>1471</v>
      </c>
      <c r="O14" s="11"/>
    </row>
    <row r="16" spans="1:15">
      <c r="A16" t="s">
        <v>1858</v>
      </c>
    </row>
    <row r="17" spans="1:15">
      <c r="A17" s="2">
        <v>86003</v>
      </c>
      <c r="B17" s="2" t="s">
        <v>1450</v>
      </c>
      <c r="C17" s="2" t="s">
        <v>2</v>
      </c>
      <c r="D17" s="2" t="s">
        <v>53</v>
      </c>
      <c r="E17" s="7" t="s">
        <v>1449</v>
      </c>
      <c r="F17" s="3" t="str">
        <f>HYPERLINK("https://stat100.ameba.jp/tnk47/ratio20/illustrations/card/ill_86003_ninkishuitochiotomechan03.jpg", "■")</f>
        <v>■</v>
      </c>
      <c r="G17" s="2" t="s">
        <v>1451</v>
      </c>
      <c r="J17" s="2">
        <v>20</v>
      </c>
      <c r="K17" s="2" t="s">
        <v>920</v>
      </c>
      <c r="L17" s="2" t="s">
        <v>920</v>
      </c>
      <c r="M17" s="9" t="s">
        <v>1452</v>
      </c>
      <c r="N17" s="9" t="s">
        <v>1477</v>
      </c>
    </row>
    <row r="18" spans="1:15">
      <c r="A18" s="2">
        <v>77003</v>
      </c>
      <c r="B18" s="2" t="s">
        <v>726</v>
      </c>
      <c r="C18" s="2" t="s">
        <v>92</v>
      </c>
      <c r="D18" s="2" t="s">
        <v>7</v>
      </c>
      <c r="E18" s="2" t="s">
        <v>398</v>
      </c>
      <c r="F18" s="3" t="str">
        <f>HYPERLINK("https://stat100.ameba.jp/tnk47/ratio20/illustrations/card/ill_77003_seikimatsunurarihyon03.jpg", "■")</f>
        <v>■</v>
      </c>
      <c r="G18" s="2" t="s">
        <v>452</v>
      </c>
      <c r="I18" s="2" t="str">
        <f>'1811'!I3</f>
        <v>19+15+(17+16)</v>
      </c>
      <c r="J18" s="2">
        <v>20</v>
      </c>
      <c r="K18" s="2" t="s">
        <v>920</v>
      </c>
      <c r="L18" s="2" t="s">
        <v>920</v>
      </c>
      <c r="M18" s="2" t="s">
        <v>399</v>
      </c>
      <c r="N18" s="2" t="s">
        <v>1010</v>
      </c>
      <c r="O18" s="11" t="s">
        <v>1539</v>
      </c>
    </row>
    <row r="19" spans="1:15">
      <c r="A19" s="2">
        <v>77793</v>
      </c>
      <c r="B19" s="2" t="s">
        <v>726</v>
      </c>
      <c r="C19" s="2" t="s">
        <v>92</v>
      </c>
      <c r="D19" s="2" t="s">
        <v>114</v>
      </c>
      <c r="E19" s="2" t="s">
        <v>491</v>
      </c>
      <c r="F19" s="3" t="str">
        <f>HYPERLINK("https://stat100.ameba.jp/tnk47/ratio20/illustrations/card/ill_77793_bonenkaiiinaomasa03.jpg", "■")</f>
        <v>■</v>
      </c>
      <c r="G19" s="2" t="s">
        <v>699</v>
      </c>
      <c r="I19" s="2" t="str">
        <f>'1812'!I3</f>
        <v>倉庫行き15+14</v>
      </c>
      <c r="J19" s="2">
        <v>20</v>
      </c>
      <c r="K19" s="2" t="s">
        <v>920</v>
      </c>
      <c r="L19" s="2" t="s">
        <v>920</v>
      </c>
      <c r="M19" s="2" t="s">
        <v>492</v>
      </c>
      <c r="N19" s="2" t="s">
        <v>1031</v>
      </c>
      <c r="O19" s="11" t="s">
        <v>1540</v>
      </c>
    </row>
    <row r="20" spans="1:15">
      <c r="A20" s="2">
        <v>78523</v>
      </c>
      <c r="B20" s="2" t="s">
        <v>726</v>
      </c>
      <c r="C20" s="2" t="s">
        <v>2</v>
      </c>
      <c r="D20" s="2" t="s">
        <v>154</v>
      </c>
      <c r="E20" s="7" t="s">
        <v>1259</v>
      </c>
      <c r="F20" s="3" t="str">
        <f>HYPERLINK("https://stat100.ameba.jp/tnk47/ratio20/illustrations/card/ill_78523_shichifukujinwakaukanomenomikoto03.jpg", "■")</f>
        <v>■</v>
      </c>
      <c r="G20" s="2" t="s">
        <v>548</v>
      </c>
      <c r="I20" s="2" t="str">
        <f>'1901'!I3</f>
        <v>20+16+(17+16)</v>
      </c>
      <c r="J20" s="2">
        <v>20</v>
      </c>
      <c r="K20" s="2" t="s">
        <v>920</v>
      </c>
      <c r="L20" s="2" t="s">
        <v>920</v>
      </c>
      <c r="M20" s="2" t="s">
        <v>528</v>
      </c>
      <c r="N20" s="2" t="s">
        <v>1037</v>
      </c>
      <c r="O20" s="11" t="s">
        <v>1541</v>
      </c>
    </row>
    <row r="21" spans="1:15">
      <c r="A21" s="2">
        <v>79223</v>
      </c>
      <c r="B21" s="2" t="s">
        <v>726</v>
      </c>
      <c r="C21" s="2" t="s">
        <v>92</v>
      </c>
      <c r="D21" s="2" t="s">
        <v>118</v>
      </c>
      <c r="E21" s="7" t="s">
        <v>1250</v>
      </c>
      <c r="F21" s="3" t="str">
        <f>HYPERLINK("https://stat100.ameba.jp/tnk47/ratio20/illustrations/card/ill_79223_shogikarakurigiemon03.jpg", "■")</f>
        <v>■</v>
      </c>
      <c r="G21" s="2" t="s">
        <v>588</v>
      </c>
      <c r="I21" s="2" t="str">
        <f>'1902'!I3</f>
        <v>19+16+(17+16)</v>
      </c>
      <c r="J21" s="2">
        <v>20</v>
      </c>
      <c r="K21" s="2" t="s">
        <v>920</v>
      </c>
      <c r="L21" s="2" t="s">
        <v>920</v>
      </c>
      <c r="M21" s="2" t="s">
        <v>550</v>
      </c>
      <c r="N21" s="2" t="s">
        <v>175</v>
      </c>
      <c r="O21" s="11" t="s">
        <v>1542</v>
      </c>
    </row>
    <row r="22" spans="1:15">
      <c r="A22" s="2">
        <v>79873</v>
      </c>
      <c r="B22" s="2" t="s">
        <v>726</v>
      </c>
      <c r="C22" s="2" t="s">
        <v>92</v>
      </c>
      <c r="D22" s="2" t="s">
        <v>90</v>
      </c>
      <c r="E22" s="7" t="s">
        <v>1241</v>
      </c>
      <c r="F22" s="3" t="str">
        <f>HYPERLINK("https://stat100.ameba.jp/tnk47/ratio20/illustrations/card/ill_79873_kafunshuraihoshigamisama03.jpg", "■")</f>
        <v>■</v>
      </c>
      <c r="G22" s="2" t="s">
        <v>619</v>
      </c>
      <c r="I22" s="2" t="str">
        <f>'1903'!I3</f>
        <v>15+13+(15+13)</v>
      </c>
      <c r="J22" s="2">
        <v>20</v>
      </c>
      <c r="K22" s="2" t="s">
        <v>920</v>
      </c>
      <c r="L22" s="2" t="s">
        <v>920</v>
      </c>
      <c r="M22" s="2" t="s">
        <v>596</v>
      </c>
      <c r="N22" s="2" t="s">
        <v>1042</v>
      </c>
      <c r="O22" s="11" t="s">
        <v>1543</v>
      </c>
    </row>
    <row r="23" spans="1:15">
      <c r="A23" s="2">
        <v>80473</v>
      </c>
      <c r="B23" s="2" t="s">
        <v>726</v>
      </c>
      <c r="C23" s="2" t="s">
        <v>2</v>
      </c>
      <c r="D23" s="2" t="s">
        <v>298</v>
      </c>
      <c r="E23" s="7" t="s">
        <v>1232</v>
      </c>
      <c r="F23" s="3" t="str">
        <f>HYPERLINK("https://stat100.ameba.jp/tnk47/ratio20/illustrations/card/ill_80473_banchokotetsu03.jpg", "■")</f>
        <v>■</v>
      </c>
      <c r="G23" s="2" t="s">
        <v>662</v>
      </c>
      <c r="I23" s="2" t="str">
        <f>'1904'!I3</f>
        <v>15(↑進化後20・古豪ガチャ)+13+(14+14)</v>
      </c>
      <c r="J23" s="2">
        <v>20</v>
      </c>
      <c r="K23" s="2" t="s">
        <v>920</v>
      </c>
      <c r="L23" s="2" t="s">
        <v>920</v>
      </c>
      <c r="M23" s="2" t="s">
        <v>639</v>
      </c>
      <c r="N23" s="2" t="s">
        <v>1045</v>
      </c>
      <c r="O23" s="11" t="s">
        <v>1544</v>
      </c>
    </row>
    <row r="24" spans="1:15">
      <c r="A24" s="2">
        <v>77013</v>
      </c>
      <c r="B24" s="2" t="s">
        <v>4</v>
      </c>
      <c r="C24" s="2" t="s">
        <v>98</v>
      </c>
      <c r="D24" s="2" t="s">
        <v>7</v>
      </c>
      <c r="E24" s="2" t="s">
        <v>402</v>
      </c>
      <c r="F24" s="3" t="str">
        <f>HYPERLINK("https://stat100.ameba.jp/tnk47/ratio20/illustrations/card/ill_77013_jakotsumusume03.jpg", "■")</f>
        <v>■</v>
      </c>
      <c r="G24" s="2" t="s">
        <v>481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403</v>
      </c>
      <c r="N24" s="2" t="s">
        <v>1013</v>
      </c>
      <c r="O24" s="11" t="s">
        <v>1545</v>
      </c>
    </row>
    <row r="25" spans="1:15">
      <c r="A25" s="2">
        <v>78533</v>
      </c>
      <c r="B25" s="2" t="s">
        <v>4</v>
      </c>
      <c r="C25" s="2" t="s">
        <v>103</v>
      </c>
      <c r="D25" s="2" t="s">
        <v>154</v>
      </c>
      <c r="E25" s="7" t="s">
        <v>1261</v>
      </c>
      <c r="F25" s="3" t="str">
        <f>HYPERLINK("https://stat100.ameba.jp/tnk47/ratio20/illustrations/card/ill_78533_arikahikonomikoto03.jpg", "■")</f>
        <v>■</v>
      </c>
      <c r="G25" s="2" t="s">
        <v>580</v>
      </c>
      <c r="H25" s="2" t="s">
        <v>2265</v>
      </c>
      <c r="I25" s="2" t="s">
        <v>1561</v>
      </c>
      <c r="J25" s="2">
        <v>20</v>
      </c>
      <c r="K25" s="2" t="s">
        <v>920</v>
      </c>
      <c r="L25" s="2" t="s">
        <v>920</v>
      </c>
      <c r="M25" s="2" t="s">
        <v>530</v>
      </c>
      <c r="N25" s="2" t="s">
        <v>1007</v>
      </c>
      <c r="O25" s="11" t="s">
        <v>1541</v>
      </c>
    </row>
    <row r="26" spans="1:15">
      <c r="A26" s="2">
        <v>79233</v>
      </c>
      <c r="B26" s="2" t="s">
        <v>4</v>
      </c>
      <c r="C26" s="2" t="s">
        <v>6</v>
      </c>
      <c r="D26" s="2" t="s">
        <v>118</v>
      </c>
      <c r="E26" s="7" t="s">
        <v>1252</v>
      </c>
      <c r="F26" s="3" t="str">
        <f>HYPERLINK("https://stat100.ameba.jp/tnk47/ratio20/illustrations/card/ill_79233_odainokata03.jpg", "■")</f>
        <v>■</v>
      </c>
      <c r="G26" s="2" t="s">
        <v>585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553</v>
      </c>
      <c r="N26" s="2" t="s">
        <v>1001</v>
      </c>
      <c r="O26" s="11" t="s">
        <v>1542</v>
      </c>
    </row>
    <row r="27" spans="1:15">
      <c r="A27" s="2">
        <v>73623</v>
      </c>
      <c r="B27" s="2" t="s">
        <v>4</v>
      </c>
      <c r="C27" s="2" t="s">
        <v>32</v>
      </c>
      <c r="D27" s="2" t="s">
        <v>33</v>
      </c>
      <c r="E27" s="2" t="s">
        <v>34</v>
      </c>
      <c r="F27" s="3" t="str">
        <f>HYPERLINK("https://stat100.ameba.jp/tnk47/ratio20/illustrations/card/ill_73623_shichisantoge03.jpg", "■")</f>
        <v>■</v>
      </c>
      <c r="G27" s="2" t="s">
        <v>37</v>
      </c>
      <c r="I27" s="2" t="s">
        <v>1453</v>
      </c>
      <c r="J27" s="2">
        <v>20</v>
      </c>
      <c r="K27" s="2" t="s">
        <v>920</v>
      </c>
      <c r="L27" s="2" t="s">
        <v>920</v>
      </c>
      <c r="M27" s="2" t="s">
        <v>38</v>
      </c>
      <c r="N27" s="2" t="s">
        <v>1008</v>
      </c>
      <c r="O27" s="11" t="s">
        <v>1546</v>
      </c>
    </row>
    <row r="28" spans="1:15">
      <c r="A28" s="2">
        <v>74443</v>
      </c>
      <c r="B28" s="2" t="s">
        <v>4</v>
      </c>
      <c r="C28" s="2" t="s">
        <v>8</v>
      </c>
      <c r="D28" s="2" t="s">
        <v>7</v>
      </c>
      <c r="E28" s="2" t="s">
        <v>134</v>
      </c>
      <c r="F28" s="3" t="str">
        <f>HYPERLINK("https://stat100.ameba.jp/tnk47/ratio20/illustrations/card/ill_74443_heikegani03.jpg", "■")</f>
        <v>■</v>
      </c>
      <c r="G28" s="2" t="s">
        <v>224</v>
      </c>
      <c r="I28" s="2" t="s">
        <v>1453</v>
      </c>
      <c r="J28" s="2">
        <v>20</v>
      </c>
      <c r="K28" s="2" t="s">
        <v>920</v>
      </c>
      <c r="L28" s="2" t="s">
        <v>920</v>
      </c>
      <c r="M28" s="2" t="s">
        <v>135</v>
      </c>
      <c r="N28" s="2" t="s">
        <v>1014</v>
      </c>
      <c r="O28" s="11" t="s">
        <v>1547</v>
      </c>
    </row>
    <row r="29" spans="1:15">
      <c r="A29" s="2">
        <v>80483</v>
      </c>
      <c r="B29" s="2" t="s">
        <v>4</v>
      </c>
      <c r="C29" s="2" t="s">
        <v>634</v>
      </c>
      <c r="D29" s="2" t="s">
        <v>298</v>
      </c>
      <c r="E29" s="7" t="s">
        <v>1234</v>
      </c>
      <c r="F29" s="3" t="str">
        <f>HYPERLINK("https://stat100.ameba.jp/tnk47/ratio20/illustrations/card/ill_80483_yamanouenokura.jpg", "■")</f>
        <v>■</v>
      </c>
      <c r="G29" s="2" t="s">
        <v>661</v>
      </c>
      <c r="I29" s="2" t="s">
        <v>1453</v>
      </c>
      <c r="J29" s="2">
        <v>20</v>
      </c>
      <c r="K29" s="2" t="s">
        <v>920</v>
      </c>
      <c r="L29" s="2" t="s">
        <v>920</v>
      </c>
      <c r="M29" s="2" t="s">
        <v>641</v>
      </c>
      <c r="N29" s="2" t="s">
        <v>1026</v>
      </c>
      <c r="O29" s="11" t="s">
        <v>1544</v>
      </c>
    </row>
    <row r="31" spans="1:15">
      <c r="A31" s="2" t="s">
        <v>1817</v>
      </c>
    </row>
    <row r="32" spans="1:15">
      <c r="A32" s="2">
        <v>64893</v>
      </c>
      <c r="B32" s="2" t="s">
        <v>726</v>
      </c>
      <c r="C32" s="2" t="s">
        <v>42</v>
      </c>
      <c r="D32" s="2" t="s">
        <v>40</v>
      </c>
      <c r="E32" s="7" t="s">
        <v>1161</v>
      </c>
      <c r="F32" s="3" t="str">
        <f>HYPERLINK("https://stat100.ameba.jp/tnk47/ratio20/illustrations/card/ill_64893_yukataonamihime03.jpg", "■")</f>
        <v>■</v>
      </c>
      <c r="G32" s="2" t="s">
        <v>919</v>
      </c>
      <c r="J32" s="2">
        <v>14</v>
      </c>
      <c r="K32" s="2" t="s">
        <v>920</v>
      </c>
      <c r="L32" s="2" t="s">
        <v>920</v>
      </c>
      <c r="M32" s="2" t="s">
        <v>921</v>
      </c>
      <c r="N32" s="2" t="s">
        <v>1365</v>
      </c>
    </row>
    <row r="33" spans="1:14">
      <c r="A33" s="2">
        <v>51893</v>
      </c>
      <c r="B33" s="2" t="s">
        <v>726</v>
      </c>
      <c r="C33" s="2" t="s">
        <v>634</v>
      </c>
      <c r="D33" s="2" t="s">
        <v>33</v>
      </c>
      <c r="E33" s="7" t="s">
        <v>1162</v>
      </c>
      <c r="F33" s="3" t="str">
        <f>HYPERLINK("https://stat100.ameba.jp/tnk47/ratio20/illustrations/card/ill_51893_kemonomizugitakachihonomine03.jpg", "■")</f>
        <v>■</v>
      </c>
      <c r="G33" s="2" t="s">
        <v>922</v>
      </c>
      <c r="J33" s="2">
        <v>14</v>
      </c>
      <c r="K33" s="2" t="s">
        <v>920</v>
      </c>
      <c r="L33" s="2" t="s">
        <v>920</v>
      </c>
      <c r="M33" s="2" t="s">
        <v>923</v>
      </c>
      <c r="N33" s="2" t="s">
        <v>1366</v>
      </c>
    </row>
    <row r="34" spans="1:14">
      <c r="A34" s="2">
        <v>91093</v>
      </c>
      <c r="B34" s="2" t="s">
        <v>10</v>
      </c>
      <c r="C34" s="2" t="s">
        <v>6</v>
      </c>
      <c r="D34" s="2" t="s">
        <v>7</v>
      </c>
      <c r="E34" s="8" t="s">
        <v>1550</v>
      </c>
      <c r="F34" s="3" t="str">
        <f>HYPERLINK("https://stat100.ameba.jp/tnk47/ratio20/illustrations/card/ill_91093_sengokumibirakishikkenken03.jpg?202008-5-RELEASE-marathon-486x", "■")</f>
        <v>■</v>
      </c>
      <c r="G34" s="2" t="s">
        <v>1551</v>
      </c>
      <c r="H34" s="2" t="s">
        <v>926</v>
      </c>
      <c r="I34" s="2" t="s">
        <v>927</v>
      </c>
      <c r="J34" s="2">
        <v>14</v>
      </c>
      <c r="K34" s="2" t="s">
        <v>920</v>
      </c>
      <c r="L34" s="2" t="s">
        <v>920</v>
      </c>
      <c r="M34" s="2" t="s">
        <v>1552</v>
      </c>
      <c r="N34" s="2" t="s">
        <v>141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5317-8104-4ADB-B8B6-56559A9B51CE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91553</v>
      </c>
      <c r="B3" s="2" t="s">
        <v>726</v>
      </c>
      <c r="C3" s="2" t="s">
        <v>92</v>
      </c>
      <c r="D3" s="2" t="s">
        <v>90</v>
      </c>
      <c r="E3" s="7" t="s">
        <v>1485</v>
      </c>
      <c r="F3" s="3" t="str">
        <f>HYPERLINK("https://stat100.ameba.jp/tnk47/ratio20/illustrations/card/ill_91553_gyangukintaro03.jpg", "■")</f>
        <v>■</v>
      </c>
      <c r="G3" s="2" t="s">
        <v>1503</v>
      </c>
      <c r="H3" s="2" t="s">
        <v>1861</v>
      </c>
      <c r="I3" s="2" t="s">
        <v>856</v>
      </c>
      <c r="J3" s="2">
        <v>17</v>
      </c>
      <c r="K3" s="2">
        <v>67113</v>
      </c>
      <c r="L3" s="2">
        <v>72140</v>
      </c>
      <c r="M3" s="2" t="s">
        <v>1486</v>
      </c>
      <c r="N3" s="2" t="s">
        <v>1553</v>
      </c>
      <c r="O3" s="2" t="s">
        <v>1860</v>
      </c>
    </row>
    <row r="4" spans="1:15">
      <c r="A4" s="2">
        <v>91635</v>
      </c>
      <c r="B4" s="2" t="s">
        <v>726</v>
      </c>
      <c r="C4" s="2" t="s">
        <v>1563</v>
      </c>
      <c r="D4" s="2" t="s">
        <v>7</v>
      </c>
      <c r="E4" s="7" t="s">
        <v>1488</v>
      </c>
      <c r="F4" s="3" t="str">
        <f>HYPERLINK("https://stat100.ameba.jp/tnk47/ratio20/illustrations/card/ill_91635_yochoyosuzume05.jpg", "■")</f>
        <v>■</v>
      </c>
      <c r="G4" s="2" t="s">
        <v>1504</v>
      </c>
      <c r="H4" s="2" t="s">
        <v>1566</v>
      </c>
      <c r="I4" s="2" t="s">
        <v>1672</v>
      </c>
      <c r="J4" s="2">
        <v>13</v>
      </c>
      <c r="K4" s="2">
        <v>41013</v>
      </c>
      <c r="L4" s="2">
        <v>56636</v>
      </c>
      <c r="M4" s="2" t="s">
        <v>1487</v>
      </c>
      <c r="N4" s="2" t="s">
        <v>1554</v>
      </c>
      <c r="O4" s="11"/>
    </row>
    <row r="5" spans="1:15">
      <c r="A5" s="2">
        <v>91563</v>
      </c>
      <c r="B5" s="2" t="s">
        <v>4</v>
      </c>
      <c r="C5" s="2" t="s">
        <v>6</v>
      </c>
      <c r="D5" s="2" t="s">
        <v>7</v>
      </c>
      <c r="E5" s="7" t="s">
        <v>1490</v>
      </c>
      <c r="F5" s="3" t="str">
        <f>HYPERLINK("https://stat100.ameba.jp/tnk47/ratio20/illustrations/card/ill_91563_tokagemaru03.jpg", "■")</f>
        <v>■</v>
      </c>
      <c r="G5" s="2" t="s">
        <v>1505</v>
      </c>
      <c r="H5" s="2" t="s">
        <v>1586</v>
      </c>
      <c r="I5" s="2" t="s">
        <v>1666</v>
      </c>
      <c r="J5" s="2">
        <v>13</v>
      </c>
      <c r="K5" s="2">
        <v>38532</v>
      </c>
      <c r="L5" s="2">
        <v>34949</v>
      </c>
      <c r="M5" s="2" t="s">
        <v>1489</v>
      </c>
      <c r="N5" s="2" t="s">
        <v>987</v>
      </c>
      <c r="O5" s="2" t="s">
        <v>2030</v>
      </c>
    </row>
    <row r="6" spans="1:15">
      <c r="A6" s="2">
        <v>91573</v>
      </c>
      <c r="B6" s="2" t="s">
        <v>4</v>
      </c>
      <c r="C6" s="2" t="s">
        <v>98</v>
      </c>
      <c r="D6" s="2" t="s">
        <v>7</v>
      </c>
      <c r="E6" s="7" t="s">
        <v>1492</v>
      </c>
      <c r="F6" s="3" t="str">
        <f>HYPERLINK("https://stat100.ameba.jp/tnk47/ratio20/illustrations/card/ill_91573_umizato03.jpg", "■")</f>
        <v>■</v>
      </c>
      <c r="G6" s="2" t="s">
        <v>1506</v>
      </c>
      <c r="H6" s="2" t="s">
        <v>1481</v>
      </c>
      <c r="I6" s="2" t="s">
        <v>1665</v>
      </c>
      <c r="J6" s="2">
        <v>13</v>
      </c>
      <c r="K6" s="2">
        <v>34949</v>
      </c>
      <c r="L6" s="2">
        <v>38532</v>
      </c>
      <c r="M6" s="2" t="s">
        <v>1491</v>
      </c>
      <c r="N6" s="2" t="s">
        <v>1555</v>
      </c>
      <c r="O6" s="11"/>
    </row>
    <row r="7" spans="1:15">
      <c r="A7" s="2">
        <v>91593</v>
      </c>
      <c r="B7" s="2" t="s">
        <v>10</v>
      </c>
      <c r="C7" s="2" t="s">
        <v>138</v>
      </c>
      <c r="D7" s="2" t="s">
        <v>7</v>
      </c>
      <c r="E7" s="7" t="s">
        <v>1494</v>
      </c>
      <c r="F7" s="3" t="str">
        <f>HYPERLINK("https://stat100.ameba.jp/tnk47/ratio20/illustrations/card/ill_91593_ibarakidoji03.jpg", "■")</f>
        <v>■</v>
      </c>
      <c r="G7" s="2" t="s">
        <v>1507</v>
      </c>
      <c r="H7" s="2" t="s">
        <v>1447</v>
      </c>
      <c r="I7" s="2" t="s">
        <v>1448</v>
      </c>
      <c r="J7" s="2">
        <v>15</v>
      </c>
      <c r="K7" s="2">
        <v>25932</v>
      </c>
      <c r="L7" s="2">
        <v>31188</v>
      </c>
      <c r="M7" s="2" t="s">
        <v>1493</v>
      </c>
      <c r="N7" s="2" t="s">
        <v>1030</v>
      </c>
      <c r="O7" s="11"/>
    </row>
    <row r="8" spans="1:15">
      <c r="A8" s="2">
        <v>91583</v>
      </c>
      <c r="B8" s="2" t="s">
        <v>10</v>
      </c>
      <c r="C8" s="2" t="s">
        <v>116</v>
      </c>
      <c r="D8" s="2" t="s">
        <v>40</v>
      </c>
      <c r="E8" s="7" t="s">
        <v>1496</v>
      </c>
      <c r="F8" s="3" t="str">
        <f>HYPERLINK("https://stat100.ameba.jp/tnk47/ratio20/illustrations/card/ill_91583_okadaizou03.jpg", "■")</f>
        <v>■</v>
      </c>
      <c r="G8" s="2" t="s">
        <v>1508</v>
      </c>
      <c r="H8" s="2" t="s">
        <v>283</v>
      </c>
      <c r="I8" s="2" t="s">
        <v>1664</v>
      </c>
      <c r="J8" s="2">
        <v>11</v>
      </c>
      <c r="K8" s="2">
        <v>22871</v>
      </c>
      <c r="L8" s="2">
        <v>19016</v>
      </c>
      <c r="M8" s="2" t="s">
        <v>1495</v>
      </c>
      <c r="N8" s="2" t="s">
        <v>213</v>
      </c>
      <c r="O8" s="11"/>
    </row>
    <row r="9" spans="1:15">
      <c r="A9" s="2">
        <v>91603</v>
      </c>
      <c r="B9" s="2" t="s">
        <v>13</v>
      </c>
      <c r="C9" s="2" t="s">
        <v>672</v>
      </c>
      <c r="D9" s="2" t="s">
        <v>638</v>
      </c>
      <c r="E9" s="7" t="s">
        <v>1498</v>
      </c>
      <c r="F9" s="3" t="str">
        <f>HYPERLINK("https://stat100.ameba.jp/tnk47/ratio20/illustrations/card/ill_91603_keijigishumoninnotango03.jpg", "■")</f>
        <v>■</v>
      </c>
      <c r="G9" s="2" t="s">
        <v>1509</v>
      </c>
      <c r="H9" s="2" t="s">
        <v>122</v>
      </c>
      <c r="I9" s="2" t="s">
        <v>1562</v>
      </c>
      <c r="J9" s="2">
        <v>9</v>
      </c>
      <c r="K9" s="2">
        <v>11329</v>
      </c>
      <c r="L9" s="2">
        <v>9514</v>
      </c>
      <c r="M9" s="2" t="s">
        <v>1497</v>
      </c>
      <c r="N9" s="2" t="s">
        <v>120</v>
      </c>
      <c r="O9" s="11"/>
    </row>
    <row r="10" spans="1:15">
      <c r="A10" s="2">
        <v>91613</v>
      </c>
      <c r="B10" s="2" t="s">
        <v>13</v>
      </c>
      <c r="C10" s="2" t="s">
        <v>370</v>
      </c>
      <c r="D10" s="2" t="s">
        <v>440</v>
      </c>
      <c r="E10" s="7" t="s">
        <v>1500</v>
      </c>
      <c r="F10" s="3" t="str">
        <f>HYPERLINK("https://stat100.ameba.jp/tnk47/ratio20/illustrations/card/ill_91613_porisuyozenin03.jpg", "■")</f>
        <v>■</v>
      </c>
      <c r="G10" s="2" t="s">
        <v>1510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1499</v>
      </c>
      <c r="N10" s="2" t="s">
        <v>108</v>
      </c>
      <c r="O10" s="11"/>
    </row>
    <row r="11" spans="1:15">
      <c r="A11" s="2">
        <v>91623</v>
      </c>
      <c r="B11" s="2" t="s">
        <v>13</v>
      </c>
      <c r="C11" s="2" t="s">
        <v>373</v>
      </c>
      <c r="D11" s="2" t="s">
        <v>3</v>
      </c>
      <c r="E11" s="7" t="s">
        <v>1502</v>
      </c>
      <c r="F11" s="3" t="str">
        <f>HYPERLINK("https://stat100.ameba.jp/tnk47/ratio20/illustrations/card/ill_91623_porisuchinsukochan03.jpg", "■")</f>
        <v>■</v>
      </c>
      <c r="G11" s="2" t="s">
        <v>1511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10" t="s">
        <v>1501</v>
      </c>
      <c r="N11" s="2" t="s">
        <v>511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1261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1252</v>
      </c>
      <c r="F23" s="3" t="str">
        <f>HYPERLINK("https://stat100.ameba.jp/tnk47/ratio20/illustrations/card/ill_79233_odainokata03.jpg", "■")</f>
        <v>■</v>
      </c>
      <c r="G23" s="2" t="s">
        <v>585</v>
      </c>
      <c r="H23" s="2" t="s">
        <v>2265</v>
      </c>
      <c r="I23" s="2" t="s">
        <v>1561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1234</v>
      </c>
      <c r="F26" s="3" t="str">
        <f>HYPERLINK("https://stat100.ameba.jp/tnk47/ratio20/illustrations/card/ill_80483_yamanouenokura.jpg", "■")</f>
        <v>■</v>
      </c>
      <c r="G26" s="2" t="s">
        <v>661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1817</v>
      </c>
    </row>
    <row r="29" spans="1:15">
      <c r="A29" s="2">
        <v>64893</v>
      </c>
      <c r="B29" s="2" t="s">
        <v>726</v>
      </c>
      <c r="C29" s="2" t="s">
        <v>42</v>
      </c>
      <c r="D29" s="2" t="s">
        <v>40</v>
      </c>
      <c r="E29" s="7" t="s">
        <v>1161</v>
      </c>
      <c r="F29" s="3" t="str">
        <f>HYPERLINK("https://stat100.ameba.jp/tnk47/ratio20/illustrations/card/ill_64893_yukataonamihime03.jpg", "■")</f>
        <v>■</v>
      </c>
      <c r="G29" s="2" t="s">
        <v>919</v>
      </c>
      <c r="J29" s="2">
        <v>14</v>
      </c>
      <c r="K29" s="2" t="s">
        <v>920</v>
      </c>
      <c r="L29" s="2" t="s">
        <v>920</v>
      </c>
      <c r="M29" s="2" t="s">
        <v>921</v>
      </c>
      <c r="N29" s="2" t="s">
        <v>1365</v>
      </c>
    </row>
    <row r="30" spans="1:15">
      <c r="A30" s="2">
        <v>51893</v>
      </c>
      <c r="B30" s="2" t="s">
        <v>726</v>
      </c>
      <c r="C30" s="2" t="s">
        <v>634</v>
      </c>
      <c r="D30" s="2" t="s">
        <v>33</v>
      </c>
      <c r="E30" s="7" t="s">
        <v>1162</v>
      </c>
      <c r="F30" s="3" t="str">
        <f>HYPERLINK("https://stat100.ameba.jp/tnk47/ratio20/illustrations/card/ill_51893_kemonomizugitakachihonomine03.jpg", "■")</f>
        <v>■</v>
      </c>
      <c r="G30" s="2" t="s">
        <v>922</v>
      </c>
      <c r="J30" s="2">
        <v>14</v>
      </c>
      <c r="K30" s="2" t="s">
        <v>920</v>
      </c>
      <c r="L30" s="2" t="s">
        <v>920</v>
      </c>
      <c r="M30" s="2" t="s">
        <v>923</v>
      </c>
      <c r="N30" s="2" t="s">
        <v>1366</v>
      </c>
    </row>
    <row r="31" spans="1:15">
      <c r="A31" s="2">
        <v>91723</v>
      </c>
      <c r="B31" s="2" t="s">
        <v>10</v>
      </c>
      <c r="C31" s="2" t="s">
        <v>138</v>
      </c>
      <c r="D31" s="2" t="s">
        <v>128</v>
      </c>
      <c r="E31" s="7" t="s">
        <v>1557</v>
      </c>
      <c r="F31" s="3" t="str">
        <f>HYPERLINK("https://stat100.ameba.jp/tnk47/ratio20/illustrations/card/ill_91723_torawarehimekogakunoichi03.jpg", "■")</f>
        <v>■</v>
      </c>
      <c r="G31" s="2" t="s">
        <v>1559</v>
      </c>
      <c r="H31" s="2" t="s">
        <v>926</v>
      </c>
      <c r="I31" s="2" t="s">
        <v>927</v>
      </c>
      <c r="J31" s="2">
        <v>14</v>
      </c>
      <c r="K31" s="2" t="s">
        <v>920</v>
      </c>
      <c r="L31" s="2" t="s">
        <v>920</v>
      </c>
      <c r="M31" s="2" t="s">
        <v>1558</v>
      </c>
      <c r="N31" s="2" t="s">
        <v>303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D706-3AFC-4C3C-AC98-4C7A451DE03B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92253</v>
      </c>
      <c r="B3" s="2" t="s">
        <v>726</v>
      </c>
      <c r="C3" s="2" t="s">
        <v>92</v>
      </c>
      <c r="D3" s="2" t="s">
        <v>151</v>
      </c>
      <c r="E3" s="7" t="s">
        <v>1590</v>
      </c>
      <c r="F3" s="3" t="str">
        <f>HYPERLINK("https://stat100.ameba.jp/tnk47/ratio20/illustrations/card/ill_92253_kaitokaranochosenjoiganinja03.jpg", "■")</f>
        <v>■</v>
      </c>
      <c r="G3" s="2" t="s">
        <v>1610</v>
      </c>
      <c r="H3" s="2" t="s">
        <v>1628</v>
      </c>
      <c r="I3" s="2" t="s">
        <v>876</v>
      </c>
      <c r="J3" s="2">
        <v>17</v>
      </c>
      <c r="K3" s="2">
        <v>67113</v>
      </c>
      <c r="L3" s="2">
        <v>72140</v>
      </c>
      <c r="M3" s="2" t="s">
        <v>1591</v>
      </c>
      <c r="N3" s="2" t="s">
        <v>1619</v>
      </c>
      <c r="O3" s="2" t="s">
        <v>2215</v>
      </c>
    </row>
    <row r="4" spans="1:15">
      <c r="A4" s="2">
        <v>92335</v>
      </c>
      <c r="B4" s="2" t="s">
        <v>726</v>
      </c>
      <c r="C4" s="2" t="s">
        <v>1622</v>
      </c>
      <c r="D4" s="2" t="s">
        <v>90</v>
      </c>
      <c r="E4" s="7" t="s">
        <v>1592</v>
      </c>
      <c r="F4" s="3" t="str">
        <f>HYPERLINK("https://stat100.ameba.jp/tnk47/ratio20/illustrations/card/ill_92335_kijutsu05.jpg", "■")</f>
        <v>■</v>
      </c>
      <c r="G4" s="2" t="s">
        <v>1611</v>
      </c>
      <c r="H4" s="2" t="s">
        <v>1566</v>
      </c>
      <c r="I4" s="2" t="s">
        <v>1862</v>
      </c>
      <c r="J4" s="2">
        <v>13</v>
      </c>
      <c r="K4" s="2">
        <v>68336</v>
      </c>
      <c r="L4" s="2">
        <v>49477</v>
      </c>
      <c r="M4" s="2" t="s">
        <v>1623</v>
      </c>
      <c r="N4" s="2" t="s">
        <v>1620</v>
      </c>
      <c r="O4" s="11"/>
    </row>
    <row r="5" spans="1:15">
      <c r="A5" s="2">
        <v>92263</v>
      </c>
      <c r="B5" s="2" t="s">
        <v>4</v>
      </c>
      <c r="C5" s="2" t="s">
        <v>98</v>
      </c>
      <c r="D5" s="2" t="s">
        <v>90</v>
      </c>
      <c r="E5" s="7" t="s">
        <v>1594</v>
      </c>
      <c r="F5" s="3" t="str">
        <f>HYPERLINK("https://stat100.ameba.jp/tnk47/ratio20/illustrations/card/ill_92263_kaitopoiyampe03.jpg", "■")</f>
        <v>■</v>
      </c>
      <c r="G5" s="2" t="s">
        <v>1612</v>
      </c>
      <c r="H5" s="2" t="s">
        <v>1629</v>
      </c>
      <c r="I5" s="2" t="s">
        <v>1799</v>
      </c>
      <c r="J5" s="2">
        <v>13</v>
      </c>
      <c r="K5" s="2">
        <v>38532</v>
      </c>
      <c r="L5" s="2">
        <v>34949</v>
      </c>
      <c r="M5" s="2" t="s">
        <v>1593</v>
      </c>
      <c r="N5" s="2" t="s">
        <v>1019</v>
      </c>
      <c r="O5" s="11"/>
    </row>
    <row r="6" spans="1:15">
      <c r="A6" s="2">
        <v>92273</v>
      </c>
      <c r="B6" s="2" t="s">
        <v>4</v>
      </c>
      <c r="C6" s="2" t="s">
        <v>8</v>
      </c>
      <c r="D6" s="2" t="s">
        <v>151</v>
      </c>
      <c r="E6" s="7" t="s">
        <v>1596</v>
      </c>
      <c r="F6" s="3" t="str">
        <f>HYPERLINK("https://stat100.ameba.jp/tnk47/ratio20/illustrations/card/ill_92273_sadahikoshiro03.jpg", "■")</f>
        <v>■</v>
      </c>
      <c r="G6" s="2" t="s">
        <v>1613</v>
      </c>
      <c r="H6" s="2" t="s">
        <v>1481</v>
      </c>
      <c r="I6" s="2" t="s">
        <v>1665</v>
      </c>
      <c r="J6" s="2">
        <v>13</v>
      </c>
      <c r="K6" s="2">
        <v>34949</v>
      </c>
      <c r="L6" s="2">
        <v>38532</v>
      </c>
      <c r="M6" s="2" t="s">
        <v>1595</v>
      </c>
      <c r="N6" s="2" t="s">
        <v>1475</v>
      </c>
      <c r="O6" s="11"/>
    </row>
    <row r="7" spans="1:15">
      <c r="A7" s="2">
        <v>92293</v>
      </c>
      <c r="B7" s="2" t="s">
        <v>10</v>
      </c>
      <c r="C7" s="2" t="s">
        <v>1402</v>
      </c>
      <c r="D7" s="2" t="s">
        <v>93</v>
      </c>
      <c r="E7" s="7" t="s">
        <v>1598</v>
      </c>
      <c r="F7" s="3" t="str">
        <f>HYPERLINK("https://stat100.ameba.jp/tnk47/ratio20/illustrations/card/ill_92293_housekichan03.jpg", "■")</f>
        <v>■</v>
      </c>
      <c r="G7" s="2" t="s">
        <v>1615</v>
      </c>
      <c r="H7" s="2" t="s">
        <v>1447</v>
      </c>
      <c r="I7" s="2" t="s">
        <v>1448</v>
      </c>
      <c r="J7" s="2">
        <v>15</v>
      </c>
      <c r="K7" s="2">
        <v>25932</v>
      </c>
      <c r="L7" s="2">
        <v>31188</v>
      </c>
      <c r="M7" s="2" t="s">
        <v>1597</v>
      </c>
      <c r="N7" s="2" t="s">
        <v>1476</v>
      </c>
      <c r="O7" s="11"/>
    </row>
    <row r="8" spans="1:15">
      <c r="A8" s="2">
        <v>92283</v>
      </c>
      <c r="B8" s="2" t="s">
        <v>10</v>
      </c>
      <c r="C8" s="2" t="s">
        <v>12</v>
      </c>
      <c r="D8" s="2" t="s">
        <v>7</v>
      </c>
      <c r="E8" s="7" t="s">
        <v>1600</v>
      </c>
      <c r="F8" s="3" t="str">
        <f>HYPERLINK("https://stat100.ameba.jp/tnk47/ratio20/illustrations/card/ill_92283_ichaikaji03.jpg", "■")</f>
        <v>■</v>
      </c>
      <c r="G8" s="2" t="s">
        <v>1614</v>
      </c>
      <c r="H8" s="2" t="s">
        <v>283</v>
      </c>
      <c r="I8" s="2" t="s">
        <v>1664</v>
      </c>
      <c r="J8" s="2">
        <v>11</v>
      </c>
      <c r="K8" s="2">
        <v>22871</v>
      </c>
      <c r="L8" s="2">
        <v>19016</v>
      </c>
      <c r="M8" s="2" t="s">
        <v>1599</v>
      </c>
      <c r="N8" s="2" t="s">
        <v>141</v>
      </c>
      <c r="O8" s="11"/>
    </row>
    <row r="9" spans="1:15">
      <c r="A9" s="2">
        <v>92303</v>
      </c>
      <c r="B9" s="2" t="s">
        <v>13</v>
      </c>
      <c r="C9" s="2" t="s">
        <v>1604</v>
      </c>
      <c r="D9" s="2" t="s">
        <v>93</v>
      </c>
      <c r="E9" s="7" t="s">
        <v>1602</v>
      </c>
      <c r="F9" s="3" t="str">
        <f>HYPERLINK("https://stat100.ameba.jp/tnk47/ratio20/illustrations/card/ill_92303_torejakasekihakkutsumusume03.jpg", "■")</f>
        <v>■</v>
      </c>
      <c r="G9" s="2" t="s">
        <v>1616</v>
      </c>
      <c r="H9" s="2" t="s">
        <v>122</v>
      </c>
      <c r="I9" s="2" t="s">
        <v>1562</v>
      </c>
      <c r="J9" s="2">
        <v>9</v>
      </c>
      <c r="K9" s="2">
        <v>11329</v>
      </c>
      <c r="L9" s="2">
        <v>9514</v>
      </c>
      <c r="M9" s="2" t="s">
        <v>1601</v>
      </c>
      <c r="N9" s="2" t="s">
        <v>63</v>
      </c>
      <c r="O9" s="11"/>
    </row>
    <row r="10" spans="1:15">
      <c r="A10" s="2">
        <v>92313</v>
      </c>
      <c r="B10" s="2" t="s">
        <v>13</v>
      </c>
      <c r="C10" s="2" t="s">
        <v>1606</v>
      </c>
      <c r="D10" s="2" t="s">
        <v>151</v>
      </c>
      <c r="E10" s="7" t="s">
        <v>1605</v>
      </c>
      <c r="F10" s="3" t="str">
        <f>HYPERLINK("https://stat100.ameba.jp/tnk47/ratio20/illustrations/card/ill_92313_setsubunnezumikozo03.jpg", "■")</f>
        <v>■</v>
      </c>
      <c r="G10" s="2" t="s">
        <v>1617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1603</v>
      </c>
      <c r="N10" s="2" t="s">
        <v>342</v>
      </c>
      <c r="O10" s="11"/>
    </row>
    <row r="11" spans="1:15">
      <c r="A11" s="2">
        <v>92323</v>
      </c>
      <c r="B11" s="2" t="s">
        <v>13</v>
      </c>
      <c r="C11" s="2" t="s">
        <v>306</v>
      </c>
      <c r="D11" s="2" t="s">
        <v>53</v>
      </c>
      <c r="E11" s="7" t="s">
        <v>1609</v>
      </c>
      <c r="F11" s="3" t="str">
        <f>HYPERLINK("https://stat100.ameba.jp/tnk47/ratio20/illustrations/card/ill_92323_karimonokyosotakoyakichan03.jpg", "■")</f>
        <v>■</v>
      </c>
      <c r="G11" s="2" t="s">
        <v>1618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1608</v>
      </c>
      <c r="N11" s="2" t="s">
        <v>1607</v>
      </c>
      <c r="O11" s="11"/>
    </row>
    <row r="13" spans="1:15">
      <c r="A13" t="s">
        <v>1858</v>
      </c>
      <c r="B13" s="12"/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2265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1817</v>
      </c>
    </row>
    <row r="29" spans="1:15">
      <c r="A29" s="2">
        <v>64893</v>
      </c>
      <c r="B29" s="2" t="s">
        <v>726</v>
      </c>
      <c r="C29" s="2" t="s">
        <v>42</v>
      </c>
      <c r="D29" s="2" t="s">
        <v>40</v>
      </c>
      <c r="E29" s="7" t="s">
        <v>1161</v>
      </c>
      <c r="F29" s="3" t="str">
        <f>HYPERLINK("https://stat100.ameba.jp/tnk47/ratio20/illustrations/card/ill_64893_yukataonamihime03.jpg", "■")</f>
        <v>■</v>
      </c>
      <c r="G29" s="2" t="s">
        <v>919</v>
      </c>
      <c r="J29" s="2">
        <v>14</v>
      </c>
      <c r="K29" s="2" t="s">
        <v>920</v>
      </c>
      <c r="L29" s="2" t="s">
        <v>920</v>
      </c>
      <c r="M29" s="2" t="s">
        <v>921</v>
      </c>
      <c r="N29" s="2" t="s">
        <v>1365</v>
      </c>
    </row>
    <row r="30" spans="1:15">
      <c r="A30" s="2">
        <v>51893</v>
      </c>
      <c r="B30" s="2" t="s">
        <v>726</v>
      </c>
      <c r="C30" s="2" t="s">
        <v>634</v>
      </c>
      <c r="D30" s="2" t="s">
        <v>33</v>
      </c>
      <c r="E30" s="7" t="s">
        <v>1162</v>
      </c>
      <c r="F30" s="3" t="str">
        <f>HYPERLINK("https://stat100.ameba.jp/tnk47/ratio20/illustrations/card/ill_51893_kemonomizugitakachihonomine03.jpg", "■")</f>
        <v>■</v>
      </c>
      <c r="G30" s="2" t="s">
        <v>922</v>
      </c>
      <c r="J30" s="2">
        <v>14</v>
      </c>
      <c r="K30" s="2" t="s">
        <v>920</v>
      </c>
      <c r="L30" s="2" t="s">
        <v>920</v>
      </c>
      <c r="M30" s="2" t="s">
        <v>923</v>
      </c>
      <c r="N30" s="2" t="s">
        <v>1366</v>
      </c>
    </row>
    <row r="31" spans="1:15">
      <c r="A31" s="2">
        <v>92423</v>
      </c>
      <c r="B31" s="2" t="s">
        <v>10</v>
      </c>
      <c r="C31" s="2" t="s">
        <v>12</v>
      </c>
      <c r="D31" s="2" t="s">
        <v>53</v>
      </c>
      <c r="E31" s="7" t="s">
        <v>1624</v>
      </c>
      <c r="F31" s="3" t="str">
        <f>HYPERLINK("https://stat100.ameba.jp/tnk47/ratio20/illustrations/card/ill_92423_makaimurasakiimotarutochan03.jpg", "■")</f>
        <v>■</v>
      </c>
      <c r="G31" s="2" t="s">
        <v>1626</v>
      </c>
      <c r="H31" s="2" t="s">
        <v>926</v>
      </c>
      <c r="I31" s="2" t="s">
        <v>1625</v>
      </c>
      <c r="J31" s="2">
        <v>14</v>
      </c>
      <c r="K31" s="2" t="s">
        <v>920</v>
      </c>
      <c r="L31" s="2" t="s">
        <v>920</v>
      </c>
      <c r="M31" s="2" t="s">
        <v>1627</v>
      </c>
      <c r="N31" s="2" t="s">
        <v>940</v>
      </c>
    </row>
  </sheetData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F784-D7B9-4B36-84DD-17172316A172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93533</v>
      </c>
      <c r="B3" s="2" t="s">
        <v>726</v>
      </c>
      <c r="C3" s="2" t="s">
        <v>92</v>
      </c>
      <c r="D3" s="2" t="s">
        <v>93</v>
      </c>
      <c r="E3" s="7" t="s">
        <v>1632</v>
      </c>
      <c r="F3" s="3" t="str">
        <f>HYPERLINK("https://stat100.ameba.jp/tnk47/ratio20/illustrations/card/ill_93533_kyuketsukiumijigokuchan03.jpg", "■")</f>
        <v>■</v>
      </c>
      <c r="G3" s="2" t="s">
        <v>1661</v>
      </c>
      <c r="H3" s="2" t="s">
        <v>1340</v>
      </c>
      <c r="I3" s="2" t="s">
        <v>876</v>
      </c>
      <c r="J3" s="2">
        <v>17</v>
      </c>
      <c r="K3" s="2">
        <v>64591</v>
      </c>
      <c r="L3" s="2">
        <v>69489</v>
      </c>
      <c r="M3" s="2" t="s">
        <v>1631</v>
      </c>
      <c r="N3" s="2" t="s">
        <v>1642</v>
      </c>
      <c r="O3" s="2" t="s">
        <v>2113</v>
      </c>
    </row>
    <row r="4" spans="1:15">
      <c r="A4" s="2">
        <v>93615</v>
      </c>
      <c r="B4" s="2" t="s">
        <v>726</v>
      </c>
      <c r="C4" s="2" t="s">
        <v>681</v>
      </c>
      <c r="D4" s="2" t="s">
        <v>7</v>
      </c>
      <c r="E4" s="7" t="s">
        <v>1634</v>
      </c>
      <c r="F4" s="3" t="str">
        <f>HYPERLINK("https://stat100.ameba.jp/tnk47/ratio20/illustrations/card/ill_93615_nekogami05.jpg", "■")</f>
        <v>■</v>
      </c>
      <c r="G4" s="2" t="s">
        <v>1660</v>
      </c>
      <c r="H4" s="2" t="s">
        <v>1566</v>
      </c>
      <c r="I4" s="2" t="s">
        <v>1864</v>
      </c>
      <c r="J4" s="2">
        <v>13</v>
      </c>
      <c r="K4" s="2">
        <v>56636</v>
      </c>
      <c r="L4" s="2">
        <v>41013</v>
      </c>
      <c r="M4" s="2" t="s">
        <v>1633</v>
      </c>
      <c r="N4" s="2" t="s">
        <v>1807</v>
      </c>
      <c r="O4" s="11"/>
    </row>
    <row r="5" spans="1:15">
      <c r="A5" s="2">
        <v>93543</v>
      </c>
      <c r="B5" s="2" t="s">
        <v>4</v>
      </c>
      <c r="C5" s="2" t="s">
        <v>6</v>
      </c>
      <c r="D5" s="2" t="s">
        <v>53</v>
      </c>
      <c r="E5" s="7" t="s">
        <v>1636</v>
      </c>
      <c r="F5" s="3" t="str">
        <f>HYPERLINK("https://stat100.ameba.jp/tnk47/ratio20/illustrations/card/ill_93543_monsutawainchan03.jpg", "■")</f>
        <v>■</v>
      </c>
      <c r="G5" s="2" t="s">
        <v>1662</v>
      </c>
      <c r="H5" s="2" t="s">
        <v>1586</v>
      </c>
      <c r="I5" s="2" t="s">
        <v>1666</v>
      </c>
      <c r="J5" s="2">
        <v>13</v>
      </c>
      <c r="K5" s="2">
        <v>38532</v>
      </c>
      <c r="L5" s="2">
        <v>34949</v>
      </c>
      <c r="M5" s="2" t="s">
        <v>1635</v>
      </c>
      <c r="N5" s="2" t="s">
        <v>1063</v>
      </c>
      <c r="O5" s="11"/>
    </row>
    <row r="6" spans="1:15">
      <c r="A6" s="2">
        <v>93553</v>
      </c>
      <c r="B6" s="2" t="s">
        <v>4</v>
      </c>
      <c r="C6" s="2" t="s">
        <v>1354</v>
      </c>
      <c r="D6" s="2" t="s">
        <v>154</v>
      </c>
      <c r="E6" s="7" t="s">
        <v>1638</v>
      </c>
      <c r="F6" s="3" t="str">
        <f>HYPERLINK("https://stat100.ameba.jp/tnk47/ratio20/illustrations/card/ill_93553_carmilla03.jpg", "■")</f>
        <v>■</v>
      </c>
      <c r="G6" s="2" t="s">
        <v>1663</v>
      </c>
      <c r="H6" s="2" t="s">
        <v>1481</v>
      </c>
      <c r="I6" s="2" t="s">
        <v>1665</v>
      </c>
      <c r="J6" s="2">
        <v>13</v>
      </c>
      <c r="K6" s="2">
        <v>34949</v>
      </c>
      <c r="L6" s="2">
        <v>38532</v>
      </c>
      <c r="M6" s="2" t="s">
        <v>1637</v>
      </c>
      <c r="N6" s="2" t="s">
        <v>1027</v>
      </c>
      <c r="O6" s="11"/>
    </row>
    <row r="7" spans="1:15">
      <c r="A7" s="2">
        <v>93573</v>
      </c>
      <c r="B7" s="2" t="s">
        <v>10</v>
      </c>
      <c r="C7" s="2" t="s">
        <v>138</v>
      </c>
      <c r="D7" s="2" t="s">
        <v>114</v>
      </c>
      <c r="E7" s="7" t="s">
        <v>1640</v>
      </c>
      <c r="F7" s="3" t="str">
        <f>HYPERLINK("https://stat100.ameba.jp/tnk47/ratio20/illustrations/card/ill_93573_kurokishiasainaomasa03.jpg", "■")</f>
        <v>■</v>
      </c>
      <c r="G7" s="2" t="s">
        <v>1658</v>
      </c>
      <c r="H7" s="2" t="s">
        <v>1447</v>
      </c>
      <c r="I7" s="2" t="s">
        <v>1448</v>
      </c>
      <c r="J7" s="2">
        <v>15</v>
      </c>
      <c r="K7" s="2">
        <v>25932</v>
      </c>
      <c r="L7" s="2">
        <v>31188</v>
      </c>
      <c r="M7" s="2" t="s">
        <v>1639</v>
      </c>
      <c r="N7" s="2" t="s">
        <v>1060</v>
      </c>
      <c r="O7" s="11"/>
    </row>
    <row r="8" spans="1:15">
      <c r="A8" s="2">
        <v>93563</v>
      </c>
      <c r="B8" s="2" t="s">
        <v>10</v>
      </c>
      <c r="C8" s="2" t="s">
        <v>12</v>
      </c>
      <c r="D8" s="2" t="s">
        <v>151</v>
      </c>
      <c r="E8" s="7" t="s">
        <v>1643</v>
      </c>
      <c r="F8" s="3" t="str">
        <f>HYPERLINK("https://stat100.ameba.jp/tnk47/ratio20/illustrations/card/ill_93563_someiburakkuparu03.jpg", "■")</f>
        <v>■</v>
      </c>
      <c r="G8" s="2" t="s">
        <v>1655</v>
      </c>
      <c r="H8" s="2" t="s">
        <v>283</v>
      </c>
      <c r="I8" s="2" t="s">
        <v>1664</v>
      </c>
      <c r="J8" s="2">
        <v>11</v>
      </c>
      <c r="K8" s="2">
        <v>22871</v>
      </c>
      <c r="L8" s="2">
        <v>19016</v>
      </c>
      <c r="M8" s="2" t="s">
        <v>1641</v>
      </c>
      <c r="N8" s="2" t="s">
        <v>369</v>
      </c>
      <c r="O8" s="11"/>
    </row>
    <row r="9" spans="1:15">
      <c r="A9" s="2">
        <v>93583</v>
      </c>
      <c r="B9" s="2" t="s">
        <v>13</v>
      </c>
      <c r="C9" s="2" t="s">
        <v>98</v>
      </c>
      <c r="D9" s="2" t="s">
        <v>114</v>
      </c>
      <c r="E9" s="7" t="s">
        <v>1645</v>
      </c>
      <c r="F9" s="3" t="str">
        <f>HYPERLINK("https://stat100.ameba.jp/tnk47/ratio20/illustrations/card/ill_93583_ashinamoriuji03.jpg", "■")</f>
        <v>■</v>
      </c>
      <c r="G9" s="2" t="s">
        <v>1659</v>
      </c>
      <c r="H9" s="2" t="s">
        <v>122</v>
      </c>
      <c r="I9" s="2" t="s">
        <v>1562</v>
      </c>
      <c r="J9" s="2">
        <v>9</v>
      </c>
      <c r="K9" s="2">
        <v>11329</v>
      </c>
      <c r="L9" s="2">
        <v>9514</v>
      </c>
      <c r="M9" s="2" t="s">
        <v>1644</v>
      </c>
      <c r="N9" s="2" t="s">
        <v>72</v>
      </c>
      <c r="O9" s="11"/>
    </row>
    <row r="10" spans="1:15">
      <c r="A10" s="2">
        <v>93593</v>
      </c>
      <c r="B10" s="2" t="s">
        <v>13</v>
      </c>
      <c r="C10" s="2" t="s">
        <v>1648</v>
      </c>
      <c r="D10" s="2" t="s">
        <v>114</v>
      </c>
      <c r="E10" s="7" t="s">
        <v>1647</v>
      </c>
      <c r="F10" s="3" t="str">
        <f>HYPERLINK("https://stat100.ameba.jp/tnk47/ratio20/illustrations/card/ill_93593_jinbounagamoto03.jpg", "■")</f>
        <v>■</v>
      </c>
      <c r="G10" s="2" t="s">
        <v>1657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1646</v>
      </c>
      <c r="N10" s="2" t="s">
        <v>59</v>
      </c>
      <c r="O10" s="11"/>
    </row>
    <row r="11" spans="1:15">
      <c r="A11" s="2">
        <v>93603</v>
      </c>
      <c r="B11" s="2" t="s">
        <v>13</v>
      </c>
      <c r="C11" s="2" t="s">
        <v>672</v>
      </c>
      <c r="D11" s="2" t="s">
        <v>118</v>
      </c>
      <c r="E11" s="7" t="s">
        <v>1650</v>
      </c>
      <c r="F11" s="3" t="str">
        <f>HYPERLINK("https://stat100.ameba.jp/tnk47/ratio20/illustrations/card/ill_93603_gishumoninnotango03.jpg", "■")</f>
        <v>■</v>
      </c>
      <c r="G11" s="2" t="s">
        <v>1656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1649</v>
      </c>
      <c r="N11" s="2" t="s">
        <v>1471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H26" s="2" t="s">
        <v>2265</v>
      </c>
      <c r="I26" s="2" t="s">
        <v>1561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1817</v>
      </c>
    </row>
    <row r="29" spans="1:15">
      <c r="A29" s="2">
        <v>64893</v>
      </c>
      <c r="B29" s="2" t="s">
        <v>726</v>
      </c>
      <c r="C29" s="2" t="s">
        <v>42</v>
      </c>
      <c r="D29" s="2" t="s">
        <v>40</v>
      </c>
      <c r="E29" s="7" t="s">
        <v>1161</v>
      </c>
      <c r="F29" s="3" t="str">
        <f>HYPERLINK("https://stat100.ameba.jp/tnk47/ratio20/illustrations/card/ill_64893_yukataonamihime03.jpg", "■")</f>
        <v>■</v>
      </c>
      <c r="G29" s="2" t="s">
        <v>919</v>
      </c>
      <c r="J29" s="2">
        <v>14</v>
      </c>
      <c r="K29" s="2" t="s">
        <v>920</v>
      </c>
      <c r="L29" s="2" t="s">
        <v>920</v>
      </c>
      <c r="M29" s="2" t="s">
        <v>921</v>
      </c>
      <c r="N29" s="2" t="s">
        <v>1365</v>
      </c>
    </row>
    <row r="30" spans="1:15">
      <c r="A30" s="2">
        <v>51893</v>
      </c>
      <c r="B30" s="2" t="s">
        <v>726</v>
      </c>
      <c r="C30" s="2" t="s">
        <v>634</v>
      </c>
      <c r="D30" s="2" t="s">
        <v>33</v>
      </c>
      <c r="E30" s="7" t="s">
        <v>1162</v>
      </c>
      <c r="F30" s="3" t="str">
        <f>HYPERLINK("https://stat100.ameba.jp/tnk47/ratio20/illustrations/card/ill_51893_kemonomizugitakachihonomine03.jpg", "■")</f>
        <v>■</v>
      </c>
      <c r="G30" s="2" t="s">
        <v>922</v>
      </c>
      <c r="J30" s="2">
        <v>14</v>
      </c>
      <c r="K30" s="2" t="s">
        <v>920</v>
      </c>
      <c r="L30" s="2" t="s">
        <v>920</v>
      </c>
      <c r="M30" s="2" t="s">
        <v>923</v>
      </c>
      <c r="N30" s="2" t="s">
        <v>1366</v>
      </c>
    </row>
    <row r="31" spans="1:15">
      <c r="A31" s="2">
        <v>93703</v>
      </c>
      <c r="B31" s="2" t="s">
        <v>10</v>
      </c>
      <c r="C31" s="2" t="s">
        <v>8</v>
      </c>
      <c r="D31" s="2" t="s">
        <v>7</v>
      </c>
      <c r="E31" s="7" t="s">
        <v>1651</v>
      </c>
      <c r="F31" s="3" t="str">
        <f>HYPERLINK("https://stat100.ameba.jp/tnk47/ratio20/illustrations/card/ill_93703_nurarihyon03.jpg", "■")</f>
        <v>■</v>
      </c>
      <c r="G31" s="2" t="s">
        <v>1653</v>
      </c>
      <c r="H31" s="2" t="s">
        <v>926</v>
      </c>
      <c r="I31" s="2" t="s">
        <v>1654</v>
      </c>
      <c r="J31" s="2">
        <v>14</v>
      </c>
      <c r="K31" s="2" t="s">
        <v>920</v>
      </c>
      <c r="L31" s="2" t="s">
        <v>920</v>
      </c>
      <c r="M31" s="2" t="s">
        <v>1652</v>
      </c>
      <c r="N31" s="2" t="s">
        <v>11</v>
      </c>
    </row>
  </sheetData>
  <phoneticPr fontId="1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4E2A6-28B5-4F7F-8846-EA09C524047C}">
  <dimension ref="A1:O31"/>
  <sheetViews>
    <sheetView zoomScale="55" zoomScaleNormal="55" workbookViewId="0">
      <pane ySplit="1" topLeftCell="A2" activePane="bottomLeft" state="frozen"/>
      <selection activeCell="G4" sqref="G4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94143</v>
      </c>
      <c r="B3" s="2" t="s">
        <v>726</v>
      </c>
      <c r="C3" s="2" t="s">
        <v>92</v>
      </c>
      <c r="D3" s="2" t="s">
        <v>128</v>
      </c>
      <c r="E3" s="7" t="s">
        <v>1765</v>
      </c>
      <c r="F3" s="3" t="str">
        <f>HYPERLINK("https://stat100.ameba.jp/tnk47/ratio20/illustrations/card/ill_94143_shadokurisumasukikuhime03.jpg", "■")</f>
        <v>■</v>
      </c>
      <c r="G3" s="2" t="s">
        <v>1795</v>
      </c>
      <c r="H3" s="2" t="s">
        <v>1479</v>
      </c>
      <c r="I3" s="2" t="s">
        <v>876</v>
      </c>
      <c r="J3" s="2">
        <v>17</v>
      </c>
      <c r="K3" s="2">
        <v>64591</v>
      </c>
      <c r="L3" s="2">
        <v>69489</v>
      </c>
      <c r="M3" s="2" t="s">
        <v>1764</v>
      </c>
      <c r="N3" s="2" t="s">
        <v>1808</v>
      </c>
      <c r="O3" s="2" t="s">
        <v>2020</v>
      </c>
    </row>
    <row r="4" spans="1:15">
      <c r="A4" s="2">
        <v>94225</v>
      </c>
      <c r="B4" s="2" t="s">
        <v>726</v>
      </c>
      <c r="C4" s="2" t="s">
        <v>1563</v>
      </c>
      <c r="D4" s="2" t="s">
        <v>151</v>
      </c>
      <c r="E4" s="7" t="s">
        <v>1767</v>
      </c>
      <c r="F4" s="3" t="str">
        <f>HYPERLINK("https://stat100.ameba.jp/tnk47/ratio20/illustrations/card/ill_94225_sesshu05.jpg", "■")</f>
        <v>■</v>
      </c>
      <c r="G4" s="2" t="s">
        <v>1794</v>
      </c>
      <c r="H4" s="2" t="s">
        <v>1566</v>
      </c>
      <c r="I4" s="2" t="s">
        <v>1864</v>
      </c>
      <c r="J4" s="2">
        <v>13</v>
      </c>
      <c r="K4" s="2">
        <v>60766</v>
      </c>
      <c r="L4" s="2">
        <v>43998</v>
      </c>
      <c r="M4" s="2" t="s">
        <v>1766</v>
      </c>
      <c r="N4" s="2" t="s">
        <v>1809</v>
      </c>
      <c r="O4" s="11"/>
    </row>
    <row r="5" spans="1:15">
      <c r="A5" s="2">
        <v>94153</v>
      </c>
      <c r="B5" s="2" t="s">
        <v>4</v>
      </c>
      <c r="C5" s="2" t="s">
        <v>98</v>
      </c>
      <c r="D5" s="2" t="s">
        <v>90</v>
      </c>
      <c r="E5" s="7" t="s">
        <v>1769</v>
      </c>
      <c r="F5" s="3" t="str">
        <f>HYPERLINK("https://stat100.ameba.jp/tnk47/ratio20/illustrations/card/ill_94153_kurisumasutokachinoraijin03.jpg", "■")</f>
        <v>■</v>
      </c>
      <c r="G5" s="2" t="s">
        <v>1793</v>
      </c>
      <c r="H5" s="2" t="s">
        <v>1791</v>
      </c>
      <c r="I5" s="2" t="s">
        <v>1792</v>
      </c>
      <c r="J5" s="2">
        <v>13</v>
      </c>
      <c r="K5" s="2">
        <v>38532</v>
      </c>
      <c r="L5" s="2">
        <v>34949</v>
      </c>
      <c r="M5" s="2" t="s">
        <v>1768</v>
      </c>
      <c r="N5" s="2" t="s">
        <v>1019</v>
      </c>
      <c r="O5" s="11"/>
    </row>
    <row r="6" spans="1:15">
      <c r="A6" s="2">
        <v>94163</v>
      </c>
      <c r="B6" s="2" t="s">
        <v>4</v>
      </c>
      <c r="C6" s="2" t="s">
        <v>138</v>
      </c>
      <c r="D6" s="2" t="s">
        <v>151</v>
      </c>
      <c r="E6" s="7" t="s">
        <v>1771</v>
      </c>
      <c r="F6" s="3" t="str">
        <f>HYPERLINK("https://stat100.ameba.jp/tnk47/ratio20/illustrations/card/ill_94163_xmasmurasakishikibu03.jpg", "■")</f>
        <v>■</v>
      </c>
      <c r="G6" s="2" t="s">
        <v>1790</v>
      </c>
      <c r="H6" s="2" t="s">
        <v>1481</v>
      </c>
      <c r="I6" s="2" t="s">
        <v>1665</v>
      </c>
      <c r="J6" s="2">
        <v>13</v>
      </c>
      <c r="K6" s="2">
        <v>34949</v>
      </c>
      <c r="L6" s="2">
        <v>38532</v>
      </c>
      <c r="M6" s="2" t="s">
        <v>1770</v>
      </c>
      <c r="N6" s="2" t="s">
        <v>1027</v>
      </c>
      <c r="O6" s="11"/>
    </row>
    <row r="7" spans="1:15">
      <c r="A7" s="2">
        <v>94183</v>
      </c>
      <c r="B7" s="2" t="s">
        <v>10</v>
      </c>
      <c r="C7" s="2" t="s">
        <v>1354</v>
      </c>
      <c r="D7" s="2" t="s">
        <v>154</v>
      </c>
      <c r="E7" s="7" t="s">
        <v>1773</v>
      </c>
      <c r="F7" s="3" t="str">
        <f>HYPERLINK("https://stat100.ameba.jp/tnk47/ratio20/illustrations/card/ill_94183_santaclaus03.jpg", "■")</f>
        <v>■</v>
      </c>
      <c r="G7" s="2" t="s">
        <v>1785</v>
      </c>
      <c r="H7" s="2" t="s">
        <v>1447</v>
      </c>
      <c r="I7" s="2" t="s">
        <v>1448</v>
      </c>
      <c r="J7" s="2">
        <v>15</v>
      </c>
      <c r="K7" s="2">
        <v>25932</v>
      </c>
      <c r="L7" s="2">
        <v>31188</v>
      </c>
      <c r="M7" s="2" t="s">
        <v>1772</v>
      </c>
      <c r="N7" s="2" t="s">
        <v>1039</v>
      </c>
      <c r="O7" s="11" t="s">
        <v>1778</v>
      </c>
    </row>
    <row r="8" spans="1:15">
      <c r="A8" s="2">
        <v>94173</v>
      </c>
      <c r="B8" s="2" t="s">
        <v>10</v>
      </c>
      <c r="C8" s="2" t="s">
        <v>6</v>
      </c>
      <c r="D8" s="2" t="s">
        <v>53</v>
      </c>
      <c r="E8" s="7" t="s">
        <v>1775</v>
      </c>
      <c r="F8" s="3" t="str">
        <f>HYPERLINK("https://stat100.ameba.jp/tnk47/ratio20/illustrations/card/ill_94173_kurisumasuwainchan03.jpg", "■")</f>
        <v>■</v>
      </c>
      <c r="G8" s="2" t="s">
        <v>1789</v>
      </c>
      <c r="H8" s="2" t="s">
        <v>283</v>
      </c>
      <c r="I8" s="2" t="s">
        <v>1664</v>
      </c>
      <c r="J8" s="2">
        <v>11</v>
      </c>
      <c r="K8" s="2">
        <v>22871</v>
      </c>
      <c r="L8" s="2">
        <v>19016</v>
      </c>
      <c r="M8" s="2" t="s">
        <v>1774</v>
      </c>
      <c r="N8" s="2" t="s">
        <v>940</v>
      </c>
      <c r="O8" s="11"/>
    </row>
    <row r="9" spans="1:15">
      <c r="A9" s="2">
        <v>94193</v>
      </c>
      <c r="B9" s="2" t="s">
        <v>13</v>
      </c>
      <c r="C9" s="2" t="s">
        <v>373</v>
      </c>
      <c r="D9" s="2" t="s">
        <v>7</v>
      </c>
      <c r="E9" s="7" t="s">
        <v>1779</v>
      </c>
      <c r="F9" s="3" t="str">
        <f>HYPERLINK("https://stat100.ameba.jp/tnk47/ratio20/illustrations/card/ill_94193_morinokurisumasukijimuna03.jpg", "■")</f>
        <v>■</v>
      </c>
      <c r="G9" s="2" t="s">
        <v>1788</v>
      </c>
      <c r="H9" s="2" t="s">
        <v>122</v>
      </c>
      <c r="I9" s="2" t="s">
        <v>1446</v>
      </c>
      <c r="J9" s="2">
        <v>9</v>
      </c>
      <c r="K9" s="2">
        <v>11329</v>
      </c>
      <c r="L9" s="2">
        <v>9514</v>
      </c>
      <c r="M9" s="2" t="s">
        <v>1777</v>
      </c>
      <c r="N9" s="2" t="s">
        <v>120</v>
      </c>
      <c r="O9" s="11"/>
    </row>
    <row r="10" spans="1:15">
      <c r="A10" s="2">
        <v>94203</v>
      </c>
      <c r="B10" s="2" t="s">
        <v>13</v>
      </c>
      <c r="C10" s="2" t="s">
        <v>116</v>
      </c>
      <c r="D10" s="2" t="s">
        <v>93</v>
      </c>
      <c r="E10" s="7" t="s">
        <v>1781</v>
      </c>
      <c r="F10" s="3" t="str">
        <f>HYPERLINK("https://stat100.ameba.jp/tnk47/ratio20/illustrations/card/ill_94203_kurisumasutsurichan03.jpg", "■")</f>
        <v>■</v>
      </c>
      <c r="G10" s="2" t="s">
        <v>1787</v>
      </c>
      <c r="H10" s="2" t="s">
        <v>122</v>
      </c>
      <c r="I10" s="2" t="s">
        <v>123</v>
      </c>
      <c r="J10" s="2">
        <v>10</v>
      </c>
      <c r="K10" s="2">
        <v>10572</v>
      </c>
      <c r="L10" s="2">
        <v>12588</v>
      </c>
      <c r="M10" s="2" t="s">
        <v>1780</v>
      </c>
      <c r="N10" s="2" t="s">
        <v>443</v>
      </c>
      <c r="O10" s="11"/>
    </row>
    <row r="11" spans="1:15">
      <c r="A11" s="2">
        <v>94213</v>
      </c>
      <c r="B11" s="2" t="s">
        <v>13</v>
      </c>
      <c r="C11" s="2" t="s">
        <v>1784</v>
      </c>
      <c r="D11" s="2" t="s">
        <v>93</v>
      </c>
      <c r="E11" s="7" t="s">
        <v>1783</v>
      </c>
      <c r="F11" s="3" t="str">
        <f>HYPERLINK("https://stat100.ameba.jp/tnk47/ratio20/illustrations/card/ill_94213_sapporotokeidai03.jpg", "■")</f>
        <v>■</v>
      </c>
      <c r="G11" s="2" t="s">
        <v>1786</v>
      </c>
      <c r="H11" s="2" t="s">
        <v>122</v>
      </c>
      <c r="I11" s="2" t="s">
        <v>123</v>
      </c>
      <c r="J11" s="2">
        <v>10</v>
      </c>
      <c r="K11" s="2">
        <v>12588</v>
      </c>
      <c r="L11" s="2">
        <v>10572</v>
      </c>
      <c r="M11" s="2" t="s">
        <v>1782</v>
      </c>
      <c r="N11" s="2" t="s">
        <v>692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H25" s="2" t="s">
        <v>2265</v>
      </c>
      <c r="I25" s="2" t="s">
        <v>1561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1706</v>
      </c>
    </row>
    <row r="29" spans="1:15">
      <c r="A29" s="2">
        <v>64893</v>
      </c>
      <c r="B29" s="2" t="s">
        <v>726</v>
      </c>
      <c r="C29" s="2" t="s">
        <v>42</v>
      </c>
      <c r="D29" s="2" t="s">
        <v>40</v>
      </c>
      <c r="E29" s="7" t="s">
        <v>1161</v>
      </c>
      <c r="F29" s="3" t="str">
        <f>HYPERLINK("https://stat100.ameba.jp/tnk47/ratio20/illustrations/card/ill_64893_yukataonamihime03.jpg", "■")</f>
        <v>■</v>
      </c>
      <c r="G29" s="2" t="s">
        <v>919</v>
      </c>
      <c r="J29" s="2">
        <v>14</v>
      </c>
      <c r="K29" s="2" t="s">
        <v>920</v>
      </c>
      <c r="L29" s="2" t="s">
        <v>920</v>
      </c>
      <c r="M29" s="2" t="s">
        <v>921</v>
      </c>
      <c r="N29" s="2" t="s">
        <v>1365</v>
      </c>
    </row>
    <row r="30" spans="1:15">
      <c r="A30" s="2">
        <v>51893</v>
      </c>
      <c r="B30" s="2" t="s">
        <v>726</v>
      </c>
      <c r="C30" s="2" t="s">
        <v>634</v>
      </c>
      <c r="D30" s="2" t="s">
        <v>33</v>
      </c>
      <c r="E30" s="7" t="s">
        <v>1162</v>
      </c>
      <c r="F30" s="3" t="str">
        <f>HYPERLINK("https://stat100.ameba.jp/tnk47/ratio20/illustrations/card/ill_51893_kemonomizugitakachihonomine03.jpg", "■")</f>
        <v>■</v>
      </c>
      <c r="G30" s="2" t="s">
        <v>922</v>
      </c>
      <c r="J30" s="2">
        <v>14</v>
      </c>
      <c r="K30" s="2" t="s">
        <v>920</v>
      </c>
      <c r="L30" s="2" t="s">
        <v>920</v>
      </c>
      <c r="M30" s="2" t="s">
        <v>923</v>
      </c>
      <c r="N30" s="2" t="s">
        <v>1366</v>
      </c>
    </row>
    <row r="31" spans="1:15">
      <c r="A31" s="2">
        <v>94313</v>
      </c>
      <c r="B31" s="2" t="s">
        <v>10</v>
      </c>
      <c r="C31" s="2" t="s">
        <v>103</v>
      </c>
      <c r="D31" s="2" t="s">
        <v>93</v>
      </c>
      <c r="E31" s="7" t="s">
        <v>1796</v>
      </c>
      <c r="F31" s="3" t="str">
        <f>HYPERLINK("https://stat100.ameba.jp/tnk47/ratio20/illustrations/card/ill_94313_handoberuchan03.jpg", "■")</f>
        <v>■</v>
      </c>
      <c r="G31" s="2" t="s">
        <v>1797</v>
      </c>
      <c r="H31" s="2" t="s">
        <v>926</v>
      </c>
      <c r="I31" s="2" t="s">
        <v>927</v>
      </c>
      <c r="J31" s="2">
        <v>14</v>
      </c>
      <c r="K31" s="2" t="s">
        <v>920</v>
      </c>
      <c r="L31" s="2" t="s">
        <v>920</v>
      </c>
      <c r="M31" s="2" t="s">
        <v>1798</v>
      </c>
      <c r="N31" s="2" t="s">
        <v>185</v>
      </c>
    </row>
  </sheetData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5E2E-F6E7-48C0-9D6A-2516E7BE42E3}">
  <dimension ref="A1:O3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 t="s">
        <v>1818</v>
      </c>
      <c r="E3" s="3"/>
      <c r="F3" s="3"/>
    </row>
    <row r="4" spans="1:15">
      <c r="E4" s="3"/>
      <c r="F4" s="3"/>
    </row>
    <row r="5" spans="1:15">
      <c r="A5" s="2">
        <v>94833</v>
      </c>
      <c r="B5" s="2" t="s">
        <v>726</v>
      </c>
      <c r="C5" s="2" t="s">
        <v>92</v>
      </c>
      <c r="D5" s="2" t="s">
        <v>53</v>
      </c>
      <c r="E5" s="7" t="s">
        <v>1710</v>
      </c>
      <c r="F5" s="3" t="str">
        <f>HYPERLINK("https://stat100.ameba.jp/tnk47/ratio20/illustrations/card/ill_94833_daikyoimojochuchan03.jpg", "■")</f>
        <v>■</v>
      </c>
      <c r="G5" s="15" t="s">
        <v>1760</v>
      </c>
      <c r="H5" s="2" t="s">
        <v>1734</v>
      </c>
      <c r="I5" s="2" t="s">
        <v>2063</v>
      </c>
      <c r="J5" s="2">
        <v>19</v>
      </c>
      <c r="K5" s="2">
        <v>93905</v>
      </c>
      <c r="L5" s="2">
        <v>87310</v>
      </c>
      <c r="M5" s="2" t="s">
        <v>1709</v>
      </c>
      <c r="N5" s="2" t="s">
        <v>1708</v>
      </c>
      <c r="O5" s="2" t="s">
        <v>2213</v>
      </c>
    </row>
    <row r="6" spans="1:15">
      <c r="A6" s="2">
        <v>94915</v>
      </c>
      <c r="B6" s="2" t="s">
        <v>726</v>
      </c>
      <c r="C6" s="2" t="s">
        <v>1713</v>
      </c>
      <c r="D6" s="2" t="s">
        <v>93</v>
      </c>
      <c r="E6" s="7" t="s">
        <v>1712</v>
      </c>
      <c r="F6" s="3" t="str">
        <f>HYPERLINK("https://stat100.ameba.jp/tnk47/ratio20/illustrations/card/ill_94915_himetemari05.jpg", "■")</f>
        <v>■</v>
      </c>
      <c r="G6" s="2" t="s">
        <v>1759</v>
      </c>
      <c r="H6" s="2" t="s">
        <v>1735</v>
      </c>
      <c r="I6" s="2" t="s">
        <v>1800</v>
      </c>
      <c r="J6" s="2">
        <v>16</v>
      </c>
      <c r="K6" s="2">
        <v>83898</v>
      </c>
      <c r="L6" s="2">
        <v>60742</v>
      </c>
      <c r="M6" s="2" t="s">
        <v>1711</v>
      </c>
      <c r="N6" s="2" t="s">
        <v>1810</v>
      </c>
      <c r="O6" s="11" t="s">
        <v>1776</v>
      </c>
    </row>
    <row r="7" spans="1:15">
      <c r="A7" s="2">
        <v>94843</v>
      </c>
      <c r="B7" s="2" t="s">
        <v>4</v>
      </c>
      <c r="C7" s="2" t="s">
        <v>138</v>
      </c>
      <c r="D7" s="2" t="s">
        <v>128</v>
      </c>
      <c r="E7" s="7" t="s">
        <v>1715</v>
      </c>
      <c r="F7" s="3" t="str">
        <f>HYPERLINK("https://stat100.ameba.jp/tnk47/ratio20/illustrations/card/ill_94843_fujiwaranotokihime03.jpg", "■")</f>
        <v>■</v>
      </c>
      <c r="G7" s="2" t="s">
        <v>1758</v>
      </c>
      <c r="H7" s="2" t="s">
        <v>1736</v>
      </c>
      <c r="I7" s="2" t="s">
        <v>1763</v>
      </c>
      <c r="J7" s="2">
        <v>15</v>
      </c>
      <c r="K7" s="2">
        <v>40326</v>
      </c>
      <c r="L7" s="2">
        <v>44460</v>
      </c>
      <c r="M7" s="2" t="s">
        <v>1714</v>
      </c>
      <c r="N7" s="2" t="s">
        <v>1811</v>
      </c>
      <c r="O7" s="11"/>
    </row>
    <row r="8" spans="1:15">
      <c r="A8" s="2">
        <v>94853</v>
      </c>
      <c r="B8" s="2" t="s">
        <v>4</v>
      </c>
      <c r="C8" s="2" t="s">
        <v>8</v>
      </c>
      <c r="D8" s="2" t="s">
        <v>7</v>
      </c>
      <c r="E8" s="7" t="s">
        <v>1717</v>
      </c>
      <c r="F8" s="3" t="str">
        <f>HYPERLINK("https://stat100.ameba.jp/tnk47/ratio20/illustrations/card/ill_94853_gozuki03.jpg", "■")</f>
        <v>■</v>
      </c>
      <c r="G8" s="2" t="s">
        <v>1757</v>
      </c>
      <c r="H8" s="2" t="s">
        <v>1737</v>
      </c>
      <c r="I8" s="2" t="s">
        <v>1762</v>
      </c>
      <c r="J8" s="2">
        <v>17</v>
      </c>
      <c r="K8" s="2">
        <v>50388</v>
      </c>
      <c r="L8" s="2">
        <v>45702</v>
      </c>
      <c r="M8" s="2" t="s">
        <v>1716</v>
      </c>
      <c r="N8" s="2" t="s">
        <v>1014</v>
      </c>
      <c r="O8" s="11" t="s">
        <v>1776</v>
      </c>
    </row>
    <row r="9" spans="1:15">
      <c r="A9" s="2">
        <v>94873</v>
      </c>
      <c r="B9" s="2" t="s">
        <v>10</v>
      </c>
      <c r="C9" s="2" t="s">
        <v>1354</v>
      </c>
      <c r="D9" s="2" t="s">
        <v>93</v>
      </c>
      <c r="E9" s="7" t="s">
        <v>1719</v>
      </c>
      <c r="F9" s="3" t="str">
        <f>HYPERLINK("https://stat100.ameba.jp/tnk47/ratio20/illustrations/card/ill_94873_mikosama03.jpg", "■")</f>
        <v>■</v>
      </c>
      <c r="G9" s="2" t="s">
        <v>1756</v>
      </c>
      <c r="H9" s="2" t="s">
        <v>1738</v>
      </c>
      <c r="I9" s="2" t="s">
        <v>1739</v>
      </c>
      <c r="J9" s="2">
        <v>17</v>
      </c>
      <c r="K9" s="2">
        <v>35346</v>
      </c>
      <c r="L9" s="2">
        <v>29389</v>
      </c>
      <c r="M9" s="2" t="s">
        <v>1718</v>
      </c>
      <c r="N9" s="2" t="s">
        <v>1051</v>
      </c>
      <c r="O9" s="11"/>
    </row>
    <row r="10" spans="1:15">
      <c r="A10" s="2">
        <v>94863</v>
      </c>
      <c r="B10" s="2" t="s">
        <v>10</v>
      </c>
      <c r="C10" s="2" t="s">
        <v>12</v>
      </c>
      <c r="D10" s="2" t="s">
        <v>128</v>
      </c>
      <c r="E10" s="7" t="s">
        <v>1721</v>
      </c>
      <c r="F10" s="3" t="str">
        <f>HYPERLINK("https://stat100.ameba.jp/tnk47/ratio20/illustrations/card/ill_94863_momotofumiagari03.jpg", "■")</f>
        <v>■</v>
      </c>
      <c r="G10" s="2" t="s">
        <v>1755</v>
      </c>
      <c r="H10" s="2" t="s">
        <v>1740</v>
      </c>
      <c r="I10" s="2" t="s">
        <v>1761</v>
      </c>
      <c r="J10" s="2">
        <v>13</v>
      </c>
      <c r="K10" s="2">
        <v>22474</v>
      </c>
      <c r="L10" s="2">
        <v>27029</v>
      </c>
      <c r="M10" s="2" t="s">
        <v>1720</v>
      </c>
      <c r="N10" s="2" t="s">
        <v>303</v>
      </c>
      <c r="O10" s="11"/>
    </row>
    <row r="11" spans="1:15">
      <c r="A11" s="2">
        <v>94883</v>
      </c>
      <c r="B11" s="2" t="s">
        <v>13</v>
      </c>
      <c r="C11" s="2" t="s">
        <v>1724</v>
      </c>
      <c r="D11" s="2" t="s">
        <v>93</v>
      </c>
      <c r="E11" s="7" t="s">
        <v>1723</v>
      </c>
      <c r="F11" s="3" t="str">
        <f>HYPERLINK("https://stat100.ameba.jp/tnk47/ratio20/illustrations/card/ill_94883_seijinshikiyuzennagashichan03.jpg", "■")</f>
        <v>■</v>
      </c>
      <c r="G11" s="2" t="s">
        <v>1754</v>
      </c>
      <c r="H11" s="2" t="s">
        <v>122</v>
      </c>
      <c r="I11" s="2" t="s">
        <v>1741</v>
      </c>
      <c r="J11" s="2">
        <v>11</v>
      </c>
      <c r="K11" s="2">
        <v>11629</v>
      </c>
      <c r="L11" s="2">
        <v>13846</v>
      </c>
      <c r="M11" s="2" t="s">
        <v>1722</v>
      </c>
      <c r="N11" s="2" t="s">
        <v>443</v>
      </c>
      <c r="O11" s="11"/>
    </row>
    <row r="12" spans="1:15">
      <c r="A12" s="2">
        <v>94893</v>
      </c>
      <c r="B12" s="2" t="s">
        <v>13</v>
      </c>
      <c r="C12" s="2" t="s">
        <v>1727</v>
      </c>
      <c r="D12" s="2" t="s">
        <v>93</v>
      </c>
      <c r="E12" s="7" t="s">
        <v>1726</v>
      </c>
      <c r="F12" s="3" t="str">
        <f>HYPERLINK("https://stat100.ameba.jp/tnk47/ratio20/illustrations/card/ill_94893_torimijinjanoshishimai03.jpg", "■")</f>
        <v>■</v>
      </c>
      <c r="G12" s="2" t="s">
        <v>1753</v>
      </c>
      <c r="H12" s="2" t="s">
        <v>122</v>
      </c>
      <c r="I12" s="2" t="s">
        <v>1742</v>
      </c>
      <c r="J12" s="2">
        <v>12</v>
      </c>
      <c r="K12" s="2">
        <v>15105</v>
      </c>
      <c r="L12" s="2">
        <v>12686</v>
      </c>
      <c r="M12" s="2" t="s">
        <v>1725</v>
      </c>
      <c r="N12" s="2" t="s">
        <v>149</v>
      </c>
      <c r="O12" s="11"/>
    </row>
    <row r="13" spans="1:15">
      <c r="A13" s="2">
        <v>94903</v>
      </c>
      <c r="B13" s="2" t="s">
        <v>13</v>
      </c>
      <c r="C13" s="2" t="s">
        <v>15</v>
      </c>
      <c r="D13" s="2" t="s">
        <v>93</v>
      </c>
      <c r="E13" s="7" t="s">
        <v>1730</v>
      </c>
      <c r="F13" s="3" t="str">
        <f>HYPERLINK("https://stat100.ameba.jp/tnk47/ratio20/illustrations/card/ill_94903_tsugarushamisen03.jpg", "■")</f>
        <v>■</v>
      </c>
      <c r="G13" s="2" t="s">
        <v>1752</v>
      </c>
      <c r="H13" s="2" t="s">
        <v>122</v>
      </c>
      <c r="I13" s="2" t="s">
        <v>1742</v>
      </c>
      <c r="J13" s="2">
        <v>12</v>
      </c>
      <c r="K13" s="2">
        <v>12686</v>
      </c>
      <c r="L13" s="2">
        <v>15105</v>
      </c>
      <c r="M13" s="2" t="s">
        <v>1729</v>
      </c>
      <c r="N13" s="2" t="s">
        <v>1728</v>
      </c>
      <c r="O13" s="11"/>
    </row>
    <row r="15" spans="1:15">
      <c r="A15" t="s">
        <v>1858</v>
      </c>
    </row>
    <row r="16" spans="1:15">
      <c r="A16" s="2">
        <v>86003</v>
      </c>
      <c r="B16" s="2" t="s">
        <v>1450</v>
      </c>
      <c r="C16" s="2" t="s">
        <v>2</v>
      </c>
      <c r="D16" s="2" t="s">
        <v>53</v>
      </c>
      <c r="E16" s="7" t="s">
        <v>1449</v>
      </c>
      <c r="F16" s="3" t="str">
        <f>HYPERLINK("https://stat100.ameba.jp/tnk47/ratio20/illustrations/card/ill_86003_ninkishuitochiotomechan03.jpg", "■")</f>
        <v>■</v>
      </c>
      <c r="G16" s="2" t="s">
        <v>1451</v>
      </c>
      <c r="J16" s="2">
        <v>20</v>
      </c>
      <c r="K16" s="2" t="s">
        <v>920</v>
      </c>
      <c r="L16" s="2" t="s">
        <v>920</v>
      </c>
      <c r="M16" s="9" t="s">
        <v>1452</v>
      </c>
      <c r="N16" s="9" t="s">
        <v>1477</v>
      </c>
    </row>
    <row r="17" spans="1:15">
      <c r="A17" s="2">
        <v>77003</v>
      </c>
      <c r="B17" s="2" t="s">
        <v>726</v>
      </c>
      <c r="C17" s="2" t="s">
        <v>92</v>
      </c>
      <c r="D17" s="2" t="s">
        <v>7</v>
      </c>
      <c r="E17" s="2" t="s">
        <v>398</v>
      </c>
      <c r="F17" s="3" t="str">
        <f>HYPERLINK("https://stat100.ameba.jp/tnk47/ratio20/illustrations/card/ill_77003_seikimatsunurarihyon03.jpg", "■")</f>
        <v>■</v>
      </c>
      <c r="G17" s="2" t="s">
        <v>452</v>
      </c>
      <c r="I17" s="2" t="str">
        <f>'1811'!I3</f>
        <v>19+15+(17+16)</v>
      </c>
      <c r="J17" s="2">
        <v>20</v>
      </c>
      <c r="K17" s="2" t="s">
        <v>920</v>
      </c>
      <c r="L17" s="2" t="s">
        <v>920</v>
      </c>
      <c r="M17" s="2" t="s">
        <v>399</v>
      </c>
      <c r="N17" s="2" t="s">
        <v>1010</v>
      </c>
      <c r="O17" s="11" t="s">
        <v>1539</v>
      </c>
    </row>
    <row r="18" spans="1:15">
      <c r="A18" s="2">
        <v>77793</v>
      </c>
      <c r="B18" s="2" t="s">
        <v>726</v>
      </c>
      <c r="C18" s="2" t="s">
        <v>92</v>
      </c>
      <c r="D18" s="2" t="s">
        <v>114</v>
      </c>
      <c r="E18" s="2" t="s">
        <v>491</v>
      </c>
      <c r="F18" s="3" t="str">
        <f>HYPERLINK("https://stat100.ameba.jp/tnk47/ratio20/illustrations/card/ill_77793_bonenkaiiinaomasa03.jpg", "■")</f>
        <v>■</v>
      </c>
      <c r="G18" s="2" t="s">
        <v>699</v>
      </c>
      <c r="I18" s="2" t="str">
        <f>'1812'!I3</f>
        <v>倉庫行き15+14</v>
      </c>
      <c r="J18" s="2">
        <v>20</v>
      </c>
      <c r="K18" s="2" t="s">
        <v>920</v>
      </c>
      <c r="L18" s="2" t="s">
        <v>920</v>
      </c>
      <c r="M18" s="2" t="s">
        <v>492</v>
      </c>
      <c r="N18" s="2" t="s">
        <v>1031</v>
      </c>
      <c r="O18" s="11" t="s">
        <v>1540</v>
      </c>
    </row>
    <row r="19" spans="1:15">
      <c r="A19" s="2">
        <v>78523</v>
      </c>
      <c r="B19" s="2" t="s">
        <v>726</v>
      </c>
      <c r="C19" s="2" t="s">
        <v>2</v>
      </c>
      <c r="D19" s="2" t="s">
        <v>154</v>
      </c>
      <c r="E19" s="7" t="s">
        <v>1259</v>
      </c>
      <c r="F19" s="3" t="str">
        <f>HYPERLINK("https://stat100.ameba.jp/tnk47/ratio20/illustrations/card/ill_78523_shichifukujinwakaukanomenomikoto03.jpg", "■")</f>
        <v>■</v>
      </c>
      <c r="G19" s="2" t="s">
        <v>548</v>
      </c>
      <c r="I19" s="2" t="str">
        <f>'1901'!I3</f>
        <v>20+16+(17+16)</v>
      </c>
      <c r="J19" s="2">
        <v>20</v>
      </c>
      <c r="K19" s="2" t="s">
        <v>920</v>
      </c>
      <c r="L19" s="2" t="s">
        <v>920</v>
      </c>
      <c r="M19" s="2" t="s">
        <v>528</v>
      </c>
      <c r="N19" s="2" t="s">
        <v>1037</v>
      </c>
      <c r="O19" s="11" t="s">
        <v>1541</v>
      </c>
    </row>
    <row r="20" spans="1:15">
      <c r="A20" s="2">
        <v>79223</v>
      </c>
      <c r="B20" s="2" t="s">
        <v>726</v>
      </c>
      <c r="C20" s="2" t="s">
        <v>92</v>
      </c>
      <c r="D20" s="2" t="s">
        <v>118</v>
      </c>
      <c r="E20" s="7" t="s">
        <v>1250</v>
      </c>
      <c r="F20" s="3" t="str">
        <f>HYPERLINK("https://stat100.ameba.jp/tnk47/ratio20/illustrations/card/ill_79223_shogikarakurigiemon03.jpg", "■")</f>
        <v>■</v>
      </c>
      <c r="G20" s="2" t="s">
        <v>588</v>
      </c>
      <c r="I20" s="2" t="str">
        <f>'1902'!I3</f>
        <v>19+16+(17+16)</v>
      </c>
      <c r="J20" s="2">
        <v>20</v>
      </c>
      <c r="K20" s="2" t="s">
        <v>920</v>
      </c>
      <c r="L20" s="2" t="s">
        <v>920</v>
      </c>
      <c r="M20" s="2" t="s">
        <v>550</v>
      </c>
      <c r="N20" s="2" t="s">
        <v>175</v>
      </c>
      <c r="O20" s="11" t="s">
        <v>1542</v>
      </c>
    </row>
    <row r="21" spans="1:15">
      <c r="A21" s="2">
        <v>79873</v>
      </c>
      <c r="B21" s="2" t="s">
        <v>726</v>
      </c>
      <c r="C21" s="2" t="s">
        <v>92</v>
      </c>
      <c r="D21" s="2" t="s">
        <v>90</v>
      </c>
      <c r="E21" s="7" t="s">
        <v>1241</v>
      </c>
      <c r="F21" s="3" t="str">
        <f>HYPERLINK("https://stat100.ameba.jp/tnk47/ratio20/illustrations/card/ill_79873_kafunshuraihoshigamisama03.jpg", "■")</f>
        <v>■</v>
      </c>
      <c r="G21" s="2" t="s">
        <v>619</v>
      </c>
      <c r="H21" s="2" t="s">
        <v>1560</v>
      </c>
      <c r="I21" s="2" t="str">
        <f>'1903'!I3</f>
        <v>15+13+(15+13)</v>
      </c>
      <c r="J21" s="2">
        <v>20</v>
      </c>
      <c r="K21" s="2" t="s">
        <v>920</v>
      </c>
      <c r="L21" s="2" t="s">
        <v>920</v>
      </c>
      <c r="M21" s="2" t="s">
        <v>596</v>
      </c>
      <c r="N21" s="2" t="s">
        <v>1042</v>
      </c>
      <c r="O21" s="11" t="s">
        <v>1543</v>
      </c>
    </row>
    <row r="22" spans="1:15">
      <c r="A22" s="2">
        <v>80473</v>
      </c>
      <c r="B22" s="2" t="s">
        <v>726</v>
      </c>
      <c r="C22" s="2" t="s">
        <v>2</v>
      </c>
      <c r="D22" s="2" t="s">
        <v>298</v>
      </c>
      <c r="E22" s="7" t="s">
        <v>1232</v>
      </c>
      <c r="F22" s="3" t="str">
        <f>HYPERLINK("https://stat100.ameba.jp/tnk47/ratio20/illustrations/card/ill_80473_banchokotetsu03.jpg", "■")</f>
        <v>■</v>
      </c>
      <c r="G22" s="2" t="s">
        <v>662</v>
      </c>
      <c r="I22" s="2" t="str">
        <f>'1904'!I3</f>
        <v>15(↑進化後20・古豪ガチャ)+13+(14+14)</v>
      </c>
      <c r="J22" s="2">
        <v>20</v>
      </c>
      <c r="K22" s="2" t="s">
        <v>920</v>
      </c>
      <c r="L22" s="2" t="s">
        <v>920</v>
      </c>
      <c r="M22" s="2" t="s">
        <v>639</v>
      </c>
      <c r="N22" s="2" t="s">
        <v>1045</v>
      </c>
      <c r="O22" s="11" t="s">
        <v>1544</v>
      </c>
    </row>
    <row r="23" spans="1:15">
      <c r="A23" s="2">
        <v>77013</v>
      </c>
      <c r="B23" s="2" t="s">
        <v>4</v>
      </c>
      <c r="C23" s="2" t="s">
        <v>98</v>
      </c>
      <c r="D23" s="2" t="s">
        <v>7</v>
      </c>
      <c r="E23" s="2" t="s">
        <v>402</v>
      </c>
      <c r="F23" s="3" t="str">
        <f>HYPERLINK("https://stat100.ameba.jp/tnk47/ratio20/illustrations/card/ill_77013_jakotsumusume03.jpg", "■")</f>
        <v>■</v>
      </c>
      <c r="G23" s="2" t="s">
        <v>481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403</v>
      </c>
      <c r="N23" s="2" t="s">
        <v>1013</v>
      </c>
      <c r="O23" s="11" t="s">
        <v>1545</v>
      </c>
    </row>
    <row r="24" spans="1:15">
      <c r="A24" s="2">
        <v>78533</v>
      </c>
      <c r="B24" s="2" t="s">
        <v>4</v>
      </c>
      <c r="C24" s="2" t="s">
        <v>103</v>
      </c>
      <c r="D24" s="2" t="s">
        <v>154</v>
      </c>
      <c r="E24" s="7" t="s">
        <v>1513</v>
      </c>
      <c r="F24" s="3" t="str">
        <f>HYPERLINK("https://stat100.ameba.jp/tnk47/ratio20/illustrations/card/ill_78533_arikahikonomikoto03.jpg", "■")</f>
        <v>■</v>
      </c>
      <c r="G24" s="2" t="s">
        <v>580</v>
      </c>
      <c r="H24" s="2" t="s">
        <v>2265</v>
      </c>
      <c r="I24" s="2" t="s">
        <v>1561</v>
      </c>
      <c r="J24" s="2">
        <v>20</v>
      </c>
      <c r="K24" s="2" t="s">
        <v>920</v>
      </c>
      <c r="L24" s="2" t="s">
        <v>920</v>
      </c>
      <c r="M24" s="2" t="s">
        <v>530</v>
      </c>
      <c r="N24" s="2" t="s">
        <v>1007</v>
      </c>
      <c r="O24" s="11" t="s">
        <v>1541</v>
      </c>
    </row>
    <row r="25" spans="1:15">
      <c r="A25" s="2">
        <v>79233</v>
      </c>
      <c r="B25" s="2" t="s">
        <v>4</v>
      </c>
      <c r="C25" s="2" t="s">
        <v>6</v>
      </c>
      <c r="D25" s="2" t="s">
        <v>118</v>
      </c>
      <c r="E25" s="7" t="s">
        <v>1514</v>
      </c>
      <c r="F25" s="3" t="str">
        <f>HYPERLINK("https://stat100.ameba.jp/tnk47/ratio20/illustrations/card/ill_79233_odainokata03.jpg", "■")</f>
        <v>■</v>
      </c>
      <c r="G25" s="2" t="s">
        <v>585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553</v>
      </c>
      <c r="N25" s="2" t="s">
        <v>1001</v>
      </c>
      <c r="O25" s="11" t="s">
        <v>1542</v>
      </c>
    </row>
    <row r="26" spans="1:15">
      <c r="A26" s="2">
        <v>73623</v>
      </c>
      <c r="B26" s="2" t="s">
        <v>4</v>
      </c>
      <c r="C26" s="2" t="s">
        <v>32</v>
      </c>
      <c r="D26" s="2" t="s">
        <v>33</v>
      </c>
      <c r="E26" s="2" t="s">
        <v>34</v>
      </c>
      <c r="F26" s="3" t="str">
        <f>HYPERLINK("https://stat100.ameba.jp/tnk47/ratio20/illustrations/card/ill_73623_shichisantoge03.jpg", "■")</f>
        <v>■</v>
      </c>
      <c r="G26" s="2" t="s">
        <v>37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38</v>
      </c>
      <c r="N26" s="2" t="s">
        <v>1008</v>
      </c>
      <c r="O26" s="11" t="s">
        <v>1546</v>
      </c>
    </row>
    <row r="27" spans="1:15">
      <c r="A27" s="2">
        <v>74443</v>
      </c>
      <c r="B27" s="2" t="s">
        <v>4</v>
      </c>
      <c r="C27" s="2" t="s">
        <v>8</v>
      </c>
      <c r="D27" s="2" t="s">
        <v>7</v>
      </c>
      <c r="E27" s="2" t="s">
        <v>134</v>
      </c>
      <c r="F27" s="3" t="str">
        <f>HYPERLINK("https://stat100.ameba.jp/tnk47/ratio20/illustrations/card/ill_74443_heikegani03.jpg", "■")</f>
        <v>■</v>
      </c>
      <c r="G27" s="2" t="s">
        <v>224</v>
      </c>
      <c r="I27" s="2" t="s">
        <v>1453</v>
      </c>
      <c r="J27" s="2">
        <v>20</v>
      </c>
      <c r="K27" s="2" t="s">
        <v>920</v>
      </c>
      <c r="L27" s="2" t="s">
        <v>920</v>
      </c>
      <c r="M27" s="2" t="s">
        <v>135</v>
      </c>
      <c r="N27" s="2" t="s">
        <v>1014</v>
      </c>
      <c r="O27" s="11" t="s">
        <v>1547</v>
      </c>
    </row>
    <row r="28" spans="1:15">
      <c r="A28" s="2">
        <v>80483</v>
      </c>
      <c r="B28" s="2" t="s">
        <v>4</v>
      </c>
      <c r="C28" s="2" t="s">
        <v>634</v>
      </c>
      <c r="D28" s="2" t="s">
        <v>298</v>
      </c>
      <c r="E28" s="7" t="s">
        <v>1515</v>
      </c>
      <c r="F28" s="3" t="str">
        <f>HYPERLINK("https://stat100.ameba.jp/tnk47/ratio20/illustrations/card/ill_80483_yamanouenokura.jpg", "■")</f>
        <v>■</v>
      </c>
      <c r="G28" s="2" t="s">
        <v>661</v>
      </c>
      <c r="I28" s="2" t="s">
        <v>1453</v>
      </c>
      <c r="J28" s="2">
        <v>20</v>
      </c>
      <c r="K28" s="2" t="s">
        <v>920</v>
      </c>
      <c r="L28" s="2" t="s">
        <v>920</v>
      </c>
      <c r="M28" s="2" t="s">
        <v>641</v>
      </c>
      <c r="N28" s="2" t="s">
        <v>1026</v>
      </c>
      <c r="O28" s="11" t="s">
        <v>1544</v>
      </c>
    </row>
    <row r="30" spans="1:15">
      <c r="A30" s="2" t="s">
        <v>1705</v>
      </c>
    </row>
    <row r="31" spans="1:15">
      <c r="A31" s="2">
        <v>56183</v>
      </c>
      <c r="B31" s="2" t="s">
        <v>726</v>
      </c>
      <c r="C31" s="2" t="s">
        <v>49</v>
      </c>
      <c r="D31" s="2" t="s">
        <v>93</v>
      </c>
      <c r="E31" s="2" t="s">
        <v>1699</v>
      </c>
      <c r="F31" s="3" t="str">
        <f>HYPERLINK("https://stat100.ameba.jp/tnk47/ratio20/illustrations/card/ill_56183_onsempanikkukoteipenginchan03.jpg", "■")</f>
        <v>■</v>
      </c>
      <c r="G31" s="2" t="s">
        <v>1698</v>
      </c>
      <c r="J31" s="2">
        <v>14</v>
      </c>
      <c r="K31" s="2" t="s">
        <v>920</v>
      </c>
      <c r="L31" s="2" t="s">
        <v>920</v>
      </c>
      <c r="M31" s="2" t="s">
        <v>1696</v>
      </c>
      <c r="N31" s="2" t="s">
        <v>1697</v>
      </c>
      <c r="O31" s="2" t="s">
        <v>1704</v>
      </c>
    </row>
    <row r="32" spans="1:15">
      <c r="A32" s="2">
        <v>72193</v>
      </c>
      <c r="B32" s="2" t="s">
        <v>726</v>
      </c>
      <c r="C32" s="2" t="s">
        <v>32</v>
      </c>
      <c r="D32" s="2" t="s">
        <v>638</v>
      </c>
      <c r="E32" s="2" t="s">
        <v>1702</v>
      </c>
      <c r="F32" s="3" t="str">
        <f>HYPERLINK("https://stat100.ameba.jp/tnk47/ratio20/illustrations/card/ill_72193_koinoborikomyokogo03.jpg", "■")</f>
        <v>■</v>
      </c>
      <c r="G32" s="2" t="s">
        <v>1701</v>
      </c>
      <c r="J32" s="2">
        <v>14</v>
      </c>
      <c r="K32" s="2" t="s">
        <v>920</v>
      </c>
      <c r="L32" s="2" t="s">
        <v>920</v>
      </c>
      <c r="M32" s="2" t="s">
        <v>1700</v>
      </c>
      <c r="N32" s="2" t="s">
        <v>1812</v>
      </c>
      <c r="O32" s="13" t="s">
        <v>1703</v>
      </c>
    </row>
    <row r="33" spans="1:14">
      <c r="A33" s="2">
        <v>95033</v>
      </c>
      <c r="B33" s="2" t="s">
        <v>10</v>
      </c>
      <c r="C33" s="2" t="s">
        <v>98</v>
      </c>
      <c r="D33" s="2" t="s">
        <v>93</v>
      </c>
      <c r="E33" s="8" t="s">
        <v>1731</v>
      </c>
      <c r="F33" s="3" t="str">
        <f>HYPERLINK("https://stat100.ameba.jp/tnk47/ratio20/illustrations/card/ill_95033_seijinshikiyukiusagichan03.jpg", "■")</f>
        <v>■</v>
      </c>
      <c r="G33" s="2" t="s">
        <v>1733</v>
      </c>
      <c r="H33" s="2" t="s">
        <v>926</v>
      </c>
      <c r="I33" s="2" t="s">
        <v>927</v>
      </c>
      <c r="J33" s="2">
        <v>14</v>
      </c>
      <c r="K33" s="2" t="s">
        <v>920</v>
      </c>
      <c r="L33" s="2" t="s">
        <v>920</v>
      </c>
      <c r="M33" s="9" t="s">
        <v>1732</v>
      </c>
      <c r="N33" s="9" t="s">
        <v>185</v>
      </c>
    </row>
  </sheetData>
  <phoneticPr fontId="1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7490-C0A1-47D1-BAC2-E9D8BC19F4C6}">
  <dimension ref="A1:O33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 t="s">
        <v>1822</v>
      </c>
      <c r="E3" s="3"/>
      <c r="F3" s="3"/>
    </row>
    <row r="4" spans="1:15">
      <c r="E4" s="3"/>
      <c r="F4" s="3"/>
    </row>
    <row r="5" spans="1:15">
      <c r="A5" s="2">
        <v>95503</v>
      </c>
      <c r="B5" s="2" t="s">
        <v>726</v>
      </c>
      <c r="C5" s="2" t="s">
        <v>92</v>
      </c>
      <c r="D5" s="2" t="s">
        <v>7</v>
      </c>
      <c r="E5" s="7" t="s">
        <v>1676</v>
      </c>
      <c r="F5" s="3" t="str">
        <f>HYPERLINK("https://stat100.ameba.jp/tnk47/ratio20/illustrations/card/ill_95503_barentaindeamanojaku03.jpg", "■")</f>
        <v>■</v>
      </c>
      <c r="G5" s="14" t="s">
        <v>1751</v>
      </c>
      <c r="H5" s="2" t="s">
        <v>1815</v>
      </c>
      <c r="I5" s="2" t="s">
        <v>876</v>
      </c>
      <c r="J5" s="2">
        <v>19</v>
      </c>
      <c r="K5" s="2">
        <v>87310</v>
      </c>
      <c r="L5" s="2">
        <v>93905</v>
      </c>
      <c r="M5" s="2" t="s">
        <v>1675</v>
      </c>
      <c r="N5" s="2" t="s">
        <v>1674</v>
      </c>
      <c r="O5" s="2" t="s">
        <v>2030</v>
      </c>
    </row>
    <row r="6" spans="1:15">
      <c r="A6" s="2">
        <v>95585</v>
      </c>
      <c r="B6" s="2" t="s">
        <v>726</v>
      </c>
      <c r="C6" s="2" t="s">
        <v>681</v>
      </c>
      <c r="D6" s="2" t="s">
        <v>128</v>
      </c>
      <c r="E6" s="7" t="s">
        <v>1678</v>
      </c>
      <c r="F6" s="3" t="str">
        <f>HYPERLINK("https://stat100.ameba.jp/tnk47/ratio20/illustrations/card/ill_95585_hojohomarehime05.jpg", "■")</f>
        <v>■</v>
      </c>
      <c r="G6" s="15" t="s">
        <v>1750</v>
      </c>
      <c r="H6" s="2" t="s">
        <v>1806</v>
      </c>
      <c r="I6" s="2" t="s">
        <v>1903</v>
      </c>
      <c r="J6" s="2">
        <v>15</v>
      </c>
      <c r="K6" s="2">
        <v>48889</v>
      </c>
      <c r="L6" s="2">
        <v>67525</v>
      </c>
      <c r="M6" s="2" t="s">
        <v>1677</v>
      </c>
      <c r="N6" s="2" t="s">
        <v>978</v>
      </c>
      <c r="O6" s="11"/>
    </row>
    <row r="7" spans="1:15">
      <c r="A7" s="2">
        <v>95513</v>
      </c>
      <c r="B7" s="2" t="s">
        <v>4</v>
      </c>
      <c r="C7" s="2" t="s">
        <v>103</v>
      </c>
      <c r="D7" s="2" t="s">
        <v>93</v>
      </c>
      <c r="E7" s="7" t="s">
        <v>1680</v>
      </c>
      <c r="F7" s="3" t="str">
        <f>HYPERLINK("https://stat100.ameba.jp/tnk47/ratio20/illustrations/card/ill_95513_okashiuenopandachan03.jpg", "■")</f>
        <v>■</v>
      </c>
      <c r="G7" s="15" t="s">
        <v>1749</v>
      </c>
      <c r="H7" s="2" t="s">
        <v>1804</v>
      </c>
      <c r="I7" s="2" t="s">
        <v>1805</v>
      </c>
      <c r="J7" s="2">
        <v>15</v>
      </c>
      <c r="K7" s="2">
        <v>44460</v>
      </c>
      <c r="L7" s="2">
        <v>40326</v>
      </c>
      <c r="M7" s="2" t="s">
        <v>1679</v>
      </c>
      <c r="N7" s="2" t="s">
        <v>1813</v>
      </c>
      <c r="O7" s="11"/>
    </row>
    <row r="8" spans="1:15">
      <c r="A8" s="2">
        <v>95523</v>
      </c>
      <c r="B8" s="2" t="s">
        <v>4</v>
      </c>
      <c r="C8" s="2" t="s">
        <v>8</v>
      </c>
      <c r="D8" s="2" t="s">
        <v>114</v>
      </c>
      <c r="E8" s="7" t="s">
        <v>1682</v>
      </c>
      <c r="F8" s="3" t="str">
        <f>HYPERLINK("https://stat100.ameba.jp/tnk47/ratio20/illustrations/card/ill_95523_hommeimorimotonari03.jpg", "■")</f>
        <v>■</v>
      </c>
      <c r="G8" s="15" t="s">
        <v>1748</v>
      </c>
      <c r="H8" s="2" t="s">
        <v>1737</v>
      </c>
      <c r="I8" s="2" t="s">
        <v>1762</v>
      </c>
      <c r="J8" s="2">
        <v>15</v>
      </c>
      <c r="K8" s="2">
        <v>40326</v>
      </c>
      <c r="L8" s="2">
        <v>44460</v>
      </c>
      <c r="M8" s="2" t="s">
        <v>1681</v>
      </c>
      <c r="N8" s="2" t="s">
        <v>1059</v>
      </c>
      <c r="O8" s="11"/>
    </row>
    <row r="9" spans="1:15">
      <c r="A9" s="2">
        <v>95543</v>
      </c>
      <c r="B9" s="2" t="s">
        <v>10</v>
      </c>
      <c r="C9" s="2" t="s">
        <v>12</v>
      </c>
      <c r="D9" s="2" t="s">
        <v>154</v>
      </c>
      <c r="E9" s="7" t="s">
        <v>1684</v>
      </c>
      <c r="F9" s="3" t="str">
        <f>HYPERLINK("https://stat100.ameba.jp/tnk47/ratio20/illustrations/card/ill_95543_barentainamanozume03.jpg", "■")</f>
        <v>■</v>
      </c>
      <c r="G9" s="2" t="s">
        <v>1745</v>
      </c>
      <c r="H9" s="2" t="s">
        <v>1738</v>
      </c>
      <c r="I9" s="2" t="s">
        <v>1739</v>
      </c>
      <c r="J9" s="2">
        <v>17</v>
      </c>
      <c r="K9" s="2">
        <v>29389</v>
      </c>
      <c r="L9" s="2">
        <v>35346</v>
      </c>
      <c r="M9" s="2" t="s">
        <v>1683</v>
      </c>
      <c r="N9" s="2" t="s">
        <v>1814</v>
      </c>
      <c r="O9" s="11"/>
    </row>
    <row r="10" spans="1:15">
      <c r="A10" s="2">
        <v>95533</v>
      </c>
      <c r="B10" s="2" t="s">
        <v>10</v>
      </c>
      <c r="C10" s="2" t="s">
        <v>98</v>
      </c>
      <c r="D10" s="2" t="s">
        <v>7</v>
      </c>
      <c r="E10" s="7" t="s">
        <v>1686</v>
      </c>
      <c r="F10" s="3" t="str">
        <f>HYPERLINK("https://stat100.ameba.jp/tnk47/ratio20/illustrations/card/ill_95533_hachinotaro03.jpg", "■")</f>
        <v>■</v>
      </c>
      <c r="G10" s="15" t="s">
        <v>1747</v>
      </c>
      <c r="H10" s="2" t="s">
        <v>1740</v>
      </c>
      <c r="I10" s="2" t="s">
        <v>1761</v>
      </c>
      <c r="J10" s="2">
        <v>13</v>
      </c>
      <c r="K10" s="2">
        <v>27029</v>
      </c>
      <c r="L10" s="2">
        <v>22474</v>
      </c>
      <c r="M10" s="2" t="s">
        <v>1685</v>
      </c>
      <c r="N10" s="2" t="s">
        <v>141</v>
      </c>
      <c r="O10" s="11"/>
    </row>
    <row r="11" spans="1:15">
      <c r="A11" s="2">
        <v>95553</v>
      </c>
      <c r="B11" s="2" t="s">
        <v>13</v>
      </c>
      <c r="C11" s="2" t="s">
        <v>221</v>
      </c>
      <c r="D11" s="2" t="s">
        <v>128</v>
      </c>
      <c r="E11" s="7" t="s">
        <v>1688</v>
      </c>
      <c r="F11" s="3" t="str">
        <f>HYPERLINK("https://stat100.ameba.jp/tnk47/ratio20/illustrations/card/ill_95553_hommeiyukihime03.jpg", "■")</f>
        <v>■</v>
      </c>
      <c r="G11" s="2" t="s">
        <v>1746</v>
      </c>
      <c r="H11" s="2" t="s">
        <v>122</v>
      </c>
      <c r="I11" s="2" t="s">
        <v>1803</v>
      </c>
      <c r="J11" s="2">
        <v>11</v>
      </c>
      <c r="K11" s="2">
        <v>13846</v>
      </c>
      <c r="L11" s="2">
        <v>11629</v>
      </c>
      <c r="M11" s="2" t="s">
        <v>1687</v>
      </c>
      <c r="N11" s="2" t="s">
        <v>112</v>
      </c>
      <c r="O11" s="11"/>
    </row>
    <row r="12" spans="1:15">
      <c r="A12" s="2">
        <v>95563</v>
      </c>
      <c r="B12" s="2" t="s">
        <v>13</v>
      </c>
      <c r="C12" s="2" t="s">
        <v>338</v>
      </c>
      <c r="D12" s="2" t="s">
        <v>114</v>
      </c>
      <c r="E12" s="7" t="s">
        <v>1690</v>
      </c>
      <c r="F12" s="3" t="str">
        <f>HYPERLINK("https://stat100.ameba.jp/tnk47/ratio20/illustrations/card/ill_95563_hommeikinoshitaiesada03.jpg", "■")</f>
        <v>■</v>
      </c>
      <c r="G12" s="2" t="s">
        <v>1743</v>
      </c>
      <c r="H12" s="2" t="s">
        <v>122</v>
      </c>
      <c r="I12" s="2" t="s">
        <v>1742</v>
      </c>
      <c r="J12" s="2">
        <v>12</v>
      </c>
      <c r="K12" s="2">
        <v>12686</v>
      </c>
      <c r="L12" s="2">
        <v>15105</v>
      </c>
      <c r="M12" s="2" t="s">
        <v>1689</v>
      </c>
      <c r="N12" s="2" t="s">
        <v>59</v>
      </c>
      <c r="O12" s="11"/>
    </row>
    <row r="13" spans="1:15">
      <c r="A13" s="2">
        <v>95573</v>
      </c>
      <c r="B13" s="2" t="s">
        <v>13</v>
      </c>
      <c r="C13" s="2" t="s">
        <v>445</v>
      </c>
      <c r="D13" s="2" t="s">
        <v>53</v>
      </c>
      <c r="E13" s="7" t="s">
        <v>1692</v>
      </c>
      <c r="F13" s="3" t="str">
        <f>HYPERLINK("https://stat100.ameba.jp/tnk47/ratio20/illustrations/card/ill_95573_hesomochichan03.jpg", "■")</f>
        <v>■</v>
      </c>
      <c r="G13" s="2" t="s">
        <v>1744</v>
      </c>
      <c r="H13" s="2" t="s">
        <v>122</v>
      </c>
      <c r="I13" s="2" t="s">
        <v>1742</v>
      </c>
      <c r="J13" s="2">
        <v>12</v>
      </c>
      <c r="K13" s="2">
        <v>15105</v>
      </c>
      <c r="L13" s="2">
        <v>12686</v>
      </c>
      <c r="M13" s="2" t="s">
        <v>1691</v>
      </c>
      <c r="N13" s="2" t="s">
        <v>511</v>
      </c>
      <c r="O13" s="11"/>
    </row>
    <row r="15" spans="1:15">
      <c r="A15" t="s">
        <v>1858</v>
      </c>
    </row>
    <row r="16" spans="1:15">
      <c r="A16" s="2">
        <v>86003</v>
      </c>
      <c r="B16" s="2" t="s">
        <v>1450</v>
      </c>
      <c r="C16" s="2" t="s">
        <v>2</v>
      </c>
      <c r="D16" s="2" t="s">
        <v>53</v>
      </c>
      <c r="E16" s="7" t="s">
        <v>1449</v>
      </c>
      <c r="F16" s="3" t="str">
        <f>HYPERLINK("https://stat100.ameba.jp/tnk47/ratio20/illustrations/card/ill_86003_ninkishuitochiotomechan03.jpg", "■")</f>
        <v>■</v>
      </c>
      <c r="G16" s="2" t="s">
        <v>1451</v>
      </c>
      <c r="J16" s="2">
        <v>20</v>
      </c>
      <c r="K16" s="2" t="s">
        <v>920</v>
      </c>
      <c r="L16" s="2" t="s">
        <v>920</v>
      </c>
      <c r="M16" s="9" t="s">
        <v>1452</v>
      </c>
      <c r="N16" s="9" t="s">
        <v>1477</v>
      </c>
    </row>
    <row r="17" spans="1:15">
      <c r="A17" s="2">
        <v>77003</v>
      </c>
      <c r="B17" s="2" t="s">
        <v>726</v>
      </c>
      <c r="C17" s="2" t="s">
        <v>92</v>
      </c>
      <c r="D17" s="2" t="s">
        <v>7</v>
      </c>
      <c r="E17" s="2" t="s">
        <v>398</v>
      </c>
      <c r="F17" s="3" t="str">
        <f>HYPERLINK("https://stat100.ameba.jp/tnk47/ratio20/illustrations/card/ill_77003_seikimatsunurarihyon03.jpg", "■")</f>
        <v>■</v>
      </c>
      <c r="G17" s="2" t="s">
        <v>452</v>
      </c>
      <c r="I17" s="2" t="str">
        <f>'1811'!I3</f>
        <v>19+15+(17+16)</v>
      </c>
      <c r="J17" s="2">
        <v>20</v>
      </c>
      <c r="K17" s="2" t="s">
        <v>920</v>
      </c>
      <c r="L17" s="2" t="s">
        <v>920</v>
      </c>
      <c r="M17" s="2" t="s">
        <v>399</v>
      </c>
      <c r="N17" s="2" t="s">
        <v>1010</v>
      </c>
      <c r="O17" s="11" t="s">
        <v>1539</v>
      </c>
    </row>
    <row r="18" spans="1:15">
      <c r="A18" s="2">
        <v>77793</v>
      </c>
      <c r="B18" s="2" t="s">
        <v>726</v>
      </c>
      <c r="C18" s="2" t="s">
        <v>92</v>
      </c>
      <c r="D18" s="2" t="s">
        <v>114</v>
      </c>
      <c r="E18" s="2" t="s">
        <v>491</v>
      </c>
      <c r="F18" s="3" t="str">
        <f>HYPERLINK("https://stat100.ameba.jp/tnk47/ratio20/illustrations/card/ill_77793_bonenkaiiinaomasa03.jpg", "■")</f>
        <v>■</v>
      </c>
      <c r="G18" s="2" t="s">
        <v>699</v>
      </c>
      <c r="I18" s="2" t="str">
        <f>'1812'!I3</f>
        <v>倉庫行き15+14</v>
      </c>
      <c r="J18" s="2">
        <v>20</v>
      </c>
      <c r="K18" s="2" t="s">
        <v>920</v>
      </c>
      <c r="L18" s="2" t="s">
        <v>920</v>
      </c>
      <c r="M18" s="2" t="s">
        <v>492</v>
      </c>
      <c r="N18" s="2" t="s">
        <v>1031</v>
      </c>
      <c r="O18" s="11" t="s">
        <v>1540</v>
      </c>
    </row>
    <row r="19" spans="1:15">
      <c r="A19" s="2">
        <v>78523</v>
      </c>
      <c r="B19" s="2" t="s">
        <v>726</v>
      </c>
      <c r="C19" s="2" t="s">
        <v>2</v>
      </c>
      <c r="D19" s="2" t="s">
        <v>154</v>
      </c>
      <c r="E19" s="7" t="s">
        <v>1259</v>
      </c>
      <c r="F19" s="3" t="str">
        <f>HYPERLINK("https://stat100.ameba.jp/tnk47/ratio20/illustrations/card/ill_78523_shichifukujinwakaukanomenomikoto03.jpg", "■")</f>
        <v>■</v>
      </c>
      <c r="G19" s="2" t="s">
        <v>548</v>
      </c>
      <c r="I19" s="2" t="str">
        <f>'1901'!I3</f>
        <v>20+16+(17+16)</v>
      </c>
      <c r="J19" s="2">
        <v>20</v>
      </c>
      <c r="K19" s="2" t="s">
        <v>920</v>
      </c>
      <c r="L19" s="2" t="s">
        <v>920</v>
      </c>
      <c r="M19" s="2" t="s">
        <v>528</v>
      </c>
      <c r="N19" s="2" t="s">
        <v>1037</v>
      </c>
      <c r="O19" s="11" t="s">
        <v>1541</v>
      </c>
    </row>
    <row r="20" spans="1:15">
      <c r="A20" s="2">
        <v>79223</v>
      </c>
      <c r="B20" s="2" t="s">
        <v>726</v>
      </c>
      <c r="C20" s="2" t="s">
        <v>92</v>
      </c>
      <c r="D20" s="2" t="s">
        <v>118</v>
      </c>
      <c r="E20" s="7" t="s">
        <v>1250</v>
      </c>
      <c r="F20" s="3" t="str">
        <f>HYPERLINK("https://stat100.ameba.jp/tnk47/ratio20/illustrations/card/ill_79223_shogikarakurigiemon03.jpg", "■")</f>
        <v>■</v>
      </c>
      <c r="G20" s="2" t="s">
        <v>588</v>
      </c>
      <c r="I20" s="2" t="str">
        <f>'1902'!I3</f>
        <v>19+16+(17+16)</v>
      </c>
      <c r="J20" s="2">
        <v>20</v>
      </c>
      <c r="K20" s="2" t="s">
        <v>920</v>
      </c>
      <c r="L20" s="2" t="s">
        <v>920</v>
      </c>
      <c r="M20" s="2" t="s">
        <v>550</v>
      </c>
      <c r="N20" s="2" t="s">
        <v>175</v>
      </c>
      <c r="O20" s="11" t="s">
        <v>1542</v>
      </c>
    </row>
    <row r="21" spans="1:15">
      <c r="A21" s="2">
        <v>79873</v>
      </c>
      <c r="B21" s="2" t="s">
        <v>726</v>
      </c>
      <c r="C21" s="2" t="s">
        <v>92</v>
      </c>
      <c r="D21" s="2" t="s">
        <v>90</v>
      </c>
      <c r="E21" s="7" t="s">
        <v>1241</v>
      </c>
      <c r="F21" s="3" t="str">
        <f>HYPERLINK("https://stat100.ameba.jp/tnk47/ratio20/illustrations/card/ill_79873_kafunshuraihoshigamisama03.jpg", "■")</f>
        <v>■</v>
      </c>
      <c r="G21" s="2" t="s">
        <v>619</v>
      </c>
      <c r="H21" s="2" t="s">
        <v>1560</v>
      </c>
      <c r="I21" s="2" t="str">
        <f>'1903'!I3</f>
        <v>15+13+(15+13)</v>
      </c>
      <c r="J21" s="2">
        <v>20</v>
      </c>
      <c r="K21" s="2" t="s">
        <v>920</v>
      </c>
      <c r="L21" s="2" t="s">
        <v>920</v>
      </c>
      <c r="M21" s="2" t="s">
        <v>596</v>
      </c>
      <c r="N21" s="2" t="s">
        <v>1042</v>
      </c>
      <c r="O21" s="11" t="s">
        <v>1543</v>
      </c>
    </row>
    <row r="22" spans="1:15">
      <c r="A22" s="2">
        <v>80473</v>
      </c>
      <c r="B22" s="2" t="s">
        <v>726</v>
      </c>
      <c r="C22" s="2" t="s">
        <v>2</v>
      </c>
      <c r="D22" s="2" t="s">
        <v>298</v>
      </c>
      <c r="E22" s="7" t="s">
        <v>1232</v>
      </c>
      <c r="F22" s="3" t="str">
        <f>HYPERLINK("https://stat100.ameba.jp/tnk47/ratio20/illustrations/card/ill_80473_banchokotetsu03.jpg", "■")</f>
        <v>■</v>
      </c>
      <c r="G22" s="2" t="s">
        <v>662</v>
      </c>
      <c r="I22" s="2" t="str">
        <f>'1904'!I3</f>
        <v>15(↑進化後20・古豪ガチャ)+13+(14+14)</v>
      </c>
      <c r="J22" s="2">
        <v>20</v>
      </c>
      <c r="K22" s="2" t="s">
        <v>920</v>
      </c>
      <c r="L22" s="2" t="s">
        <v>920</v>
      </c>
      <c r="M22" s="2" t="s">
        <v>639</v>
      </c>
      <c r="N22" s="2" t="s">
        <v>1045</v>
      </c>
      <c r="O22" s="11" t="s">
        <v>1544</v>
      </c>
    </row>
    <row r="23" spans="1:15">
      <c r="A23" s="2">
        <v>77013</v>
      </c>
      <c r="B23" s="2" t="s">
        <v>4</v>
      </c>
      <c r="C23" s="2" t="s">
        <v>98</v>
      </c>
      <c r="D23" s="2" t="s">
        <v>7</v>
      </c>
      <c r="E23" s="2" t="s">
        <v>402</v>
      </c>
      <c r="F23" s="3" t="str">
        <f>HYPERLINK("https://stat100.ameba.jp/tnk47/ratio20/illustrations/card/ill_77013_jakotsumusume03.jpg", "■")</f>
        <v>■</v>
      </c>
      <c r="G23" s="2" t="s">
        <v>481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403</v>
      </c>
      <c r="N23" s="2" t="s">
        <v>1013</v>
      </c>
      <c r="O23" s="11" t="s">
        <v>1545</v>
      </c>
    </row>
    <row r="24" spans="1:15">
      <c r="A24" s="2">
        <v>78533</v>
      </c>
      <c r="B24" s="2" t="s">
        <v>4</v>
      </c>
      <c r="C24" s="2" t="s">
        <v>103</v>
      </c>
      <c r="D24" s="2" t="s">
        <v>154</v>
      </c>
      <c r="E24" s="7" t="s">
        <v>1513</v>
      </c>
      <c r="F24" s="3" t="str">
        <f>HYPERLINK("https://stat100.ameba.jp/tnk47/ratio20/illustrations/card/ill_78533_arikahikonomikoto03.jpg", "■")</f>
        <v>■</v>
      </c>
      <c r="G24" s="2" t="s">
        <v>580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530</v>
      </c>
      <c r="N24" s="2" t="s">
        <v>1007</v>
      </c>
      <c r="O24" s="11" t="s">
        <v>1541</v>
      </c>
    </row>
    <row r="25" spans="1:15">
      <c r="A25" s="2">
        <v>79233</v>
      </c>
      <c r="B25" s="2" t="s">
        <v>4</v>
      </c>
      <c r="C25" s="2" t="s">
        <v>6</v>
      </c>
      <c r="D25" s="2" t="s">
        <v>118</v>
      </c>
      <c r="E25" s="7" t="s">
        <v>1514</v>
      </c>
      <c r="F25" s="3" t="str">
        <f>HYPERLINK("https://stat100.ameba.jp/tnk47/ratio20/illustrations/card/ill_79233_odainokata03.jpg", "■")</f>
        <v>■</v>
      </c>
      <c r="G25" s="2" t="s">
        <v>585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553</v>
      </c>
      <c r="N25" s="2" t="s">
        <v>1001</v>
      </c>
      <c r="O25" s="11" t="s">
        <v>1542</v>
      </c>
    </row>
    <row r="26" spans="1:15">
      <c r="A26" s="2">
        <v>73623</v>
      </c>
      <c r="B26" s="2" t="s">
        <v>4</v>
      </c>
      <c r="C26" s="2" t="s">
        <v>32</v>
      </c>
      <c r="D26" s="2" t="s">
        <v>33</v>
      </c>
      <c r="E26" s="2" t="s">
        <v>34</v>
      </c>
      <c r="F26" s="3" t="str">
        <f>HYPERLINK("https://stat100.ameba.jp/tnk47/ratio20/illustrations/card/ill_73623_shichisantoge03.jpg", "■")</f>
        <v>■</v>
      </c>
      <c r="G26" s="2" t="s">
        <v>37</v>
      </c>
      <c r="H26" s="2" t="s">
        <v>2265</v>
      </c>
      <c r="I26" s="2" t="s">
        <v>1816</v>
      </c>
      <c r="J26" s="2">
        <v>20</v>
      </c>
      <c r="K26" s="2" t="s">
        <v>920</v>
      </c>
      <c r="L26" s="2" t="s">
        <v>920</v>
      </c>
      <c r="M26" s="2" t="s">
        <v>38</v>
      </c>
      <c r="N26" s="2" t="s">
        <v>1008</v>
      </c>
      <c r="O26" s="11" t="s">
        <v>1546</v>
      </c>
    </row>
    <row r="27" spans="1:15">
      <c r="A27" s="2">
        <v>74443</v>
      </c>
      <c r="B27" s="2" t="s">
        <v>4</v>
      </c>
      <c r="C27" s="2" t="s">
        <v>8</v>
      </c>
      <c r="D27" s="2" t="s">
        <v>7</v>
      </c>
      <c r="E27" s="2" t="s">
        <v>134</v>
      </c>
      <c r="F27" s="3" t="str">
        <f>HYPERLINK("https://stat100.ameba.jp/tnk47/ratio20/illustrations/card/ill_74443_heikegani03.jpg", "■")</f>
        <v>■</v>
      </c>
      <c r="G27" s="2" t="s">
        <v>224</v>
      </c>
      <c r="I27" s="2" t="s">
        <v>1453</v>
      </c>
      <c r="J27" s="2">
        <v>20</v>
      </c>
      <c r="K27" s="2" t="s">
        <v>920</v>
      </c>
      <c r="L27" s="2" t="s">
        <v>920</v>
      </c>
      <c r="M27" s="2" t="s">
        <v>135</v>
      </c>
      <c r="N27" s="2" t="s">
        <v>1014</v>
      </c>
      <c r="O27" s="11" t="s">
        <v>1547</v>
      </c>
    </row>
    <row r="28" spans="1:15">
      <c r="A28" s="2">
        <v>80483</v>
      </c>
      <c r="B28" s="2" t="s">
        <v>4</v>
      </c>
      <c r="C28" s="2" t="s">
        <v>634</v>
      </c>
      <c r="D28" s="2" t="s">
        <v>298</v>
      </c>
      <c r="E28" s="7" t="s">
        <v>1515</v>
      </c>
      <c r="F28" s="3" t="str">
        <f>HYPERLINK("https://stat100.ameba.jp/tnk47/ratio20/illustrations/card/ill_80483_yamanouenokura.jpg", "■")</f>
        <v>■</v>
      </c>
      <c r="G28" s="2" t="s">
        <v>661</v>
      </c>
      <c r="I28" s="2" t="s">
        <v>1453</v>
      </c>
      <c r="J28" s="2">
        <v>20</v>
      </c>
      <c r="K28" s="2" t="s">
        <v>920</v>
      </c>
      <c r="L28" s="2" t="s">
        <v>920</v>
      </c>
      <c r="M28" s="2" t="s">
        <v>641</v>
      </c>
      <c r="N28" s="2" t="s">
        <v>1026</v>
      </c>
      <c r="O28" s="11" t="s">
        <v>1544</v>
      </c>
    </row>
    <row r="30" spans="1:15">
      <c r="A30" s="2" t="s">
        <v>1705</v>
      </c>
    </row>
    <row r="31" spans="1:15">
      <c r="A31" s="2">
        <v>56183</v>
      </c>
      <c r="B31" s="2" t="s">
        <v>726</v>
      </c>
      <c r="C31" s="2" t="s">
        <v>49</v>
      </c>
      <c r="D31" s="2" t="s">
        <v>93</v>
      </c>
      <c r="E31" s="2" t="s">
        <v>1699</v>
      </c>
      <c r="F31" s="3" t="str">
        <f>HYPERLINK("https://stat100.ameba.jp/tnk47/ratio20/illustrations/card/ill_56183_onsempanikkukoteipenginchan03.jpg", "■")</f>
        <v>■</v>
      </c>
      <c r="G31" s="2" t="s">
        <v>1698</v>
      </c>
      <c r="J31" s="2">
        <v>14</v>
      </c>
      <c r="K31" s="2" t="s">
        <v>920</v>
      </c>
      <c r="L31" s="2" t="s">
        <v>920</v>
      </c>
      <c r="M31" s="2" t="s">
        <v>1696</v>
      </c>
      <c r="N31" s="2" t="s">
        <v>1697</v>
      </c>
      <c r="O31" s="2" t="s">
        <v>1704</v>
      </c>
    </row>
    <row r="32" spans="1:15">
      <c r="A32" s="2">
        <v>72193</v>
      </c>
      <c r="B32" s="2" t="s">
        <v>726</v>
      </c>
      <c r="C32" s="2" t="s">
        <v>32</v>
      </c>
      <c r="D32" s="2" t="s">
        <v>638</v>
      </c>
      <c r="E32" s="2" t="s">
        <v>1702</v>
      </c>
      <c r="F32" s="3" t="str">
        <f>HYPERLINK("https://stat100.ameba.jp/tnk47/ratio20/illustrations/card/ill_72193_koinoborikomyokogo03.jpg", "■")</f>
        <v>■</v>
      </c>
      <c r="G32" s="2" t="s">
        <v>1701</v>
      </c>
      <c r="J32" s="2">
        <v>14</v>
      </c>
      <c r="K32" s="2" t="s">
        <v>920</v>
      </c>
      <c r="L32" s="2" t="s">
        <v>920</v>
      </c>
      <c r="M32" s="2" t="s">
        <v>1700</v>
      </c>
      <c r="N32" s="2" t="s">
        <v>1812</v>
      </c>
      <c r="O32" s="13" t="s">
        <v>1703</v>
      </c>
    </row>
    <row r="33" spans="1:14">
      <c r="A33" s="2">
        <v>95673</v>
      </c>
      <c r="B33" s="2" t="s">
        <v>10</v>
      </c>
      <c r="C33" s="2" t="s">
        <v>6</v>
      </c>
      <c r="D33" s="2" t="s">
        <v>114</v>
      </c>
      <c r="E33" s="8" t="s">
        <v>1695</v>
      </c>
      <c r="F33" s="3" t="str">
        <f>HYPERLINK("https://stat100.ameba.jp/tnk47/ratio20/illustrations/card/ill_95673_barentainitagakugozen03.jpg", "■")</f>
        <v>■</v>
      </c>
      <c r="G33" s="2" t="s">
        <v>1694</v>
      </c>
      <c r="H33" s="2" t="s">
        <v>926</v>
      </c>
      <c r="I33" s="2" t="s">
        <v>1707</v>
      </c>
      <c r="J33" s="2">
        <v>14</v>
      </c>
      <c r="K33" s="2" t="s">
        <v>920</v>
      </c>
      <c r="L33" s="2" t="s">
        <v>920</v>
      </c>
      <c r="M33" s="9" t="s">
        <v>1693</v>
      </c>
      <c r="N33" s="9" t="s">
        <v>213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0.9140625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70223</v>
      </c>
      <c r="B3" s="2" t="s">
        <v>726</v>
      </c>
      <c r="C3" s="2" t="s">
        <v>0</v>
      </c>
      <c r="D3" s="2" t="s">
        <v>1</v>
      </c>
      <c r="E3" s="7" t="s">
        <v>1106</v>
      </c>
      <c r="F3" s="3" t="str">
        <f>HYPERLINK("https://stat100.ameba.jp/tnk47/ratio20/illustrations/card/ill_70223_konjakuhyakkishuibashonosei03.jpg", "■")</f>
        <v>■</v>
      </c>
      <c r="G3" s="2" t="s">
        <v>265</v>
      </c>
      <c r="H3" s="2" t="s">
        <v>16</v>
      </c>
      <c r="I3" s="2" t="s">
        <v>21</v>
      </c>
      <c r="J3" s="2">
        <v>11</v>
      </c>
      <c r="K3" s="2">
        <v>48305</v>
      </c>
      <c r="L3" s="2">
        <v>51948</v>
      </c>
      <c r="M3" s="2" t="s">
        <v>81</v>
      </c>
      <c r="N3" s="2" t="s">
        <v>983</v>
      </c>
      <c r="O3" s="11" t="s">
        <v>1518</v>
      </c>
    </row>
    <row r="4" spans="1:15">
      <c r="A4" s="2">
        <v>70323</v>
      </c>
      <c r="B4" s="2" t="s">
        <v>726</v>
      </c>
      <c r="C4" s="2" t="s">
        <v>2</v>
      </c>
      <c r="D4" s="2" t="s">
        <v>3</v>
      </c>
      <c r="E4" s="7" t="s">
        <v>1107</v>
      </c>
      <c r="F4" s="3" t="str">
        <f>HYPERLINK("https://stat100.ameba.jp/tnk47/ratio20/illustrations/card/ill_70323_tabetsukushiimagashuntamagonotage03.jpg", "■")</f>
        <v>■</v>
      </c>
      <c r="G4" s="2" t="s">
        <v>268</v>
      </c>
      <c r="I4" s="2" t="s">
        <v>468</v>
      </c>
      <c r="J4" s="2">
        <v>9</v>
      </c>
      <c r="K4" s="2">
        <v>40466</v>
      </c>
      <c r="L4" s="2">
        <v>43237</v>
      </c>
      <c r="M4" s="2" t="s">
        <v>80</v>
      </c>
      <c r="N4" s="2" t="s">
        <v>984</v>
      </c>
      <c r="O4" s="11"/>
    </row>
    <row r="5" spans="1:15">
      <c r="A5" s="2">
        <v>70301</v>
      </c>
      <c r="B5" s="2" t="s">
        <v>4</v>
      </c>
      <c r="C5" s="2" t="s">
        <v>5</v>
      </c>
      <c r="D5" s="2" t="s">
        <v>3</v>
      </c>
      <c r="E5" s="7" t="s">
        <v>1108</v>
      </c>
      <c r="F5" s="3" t="str">
        <f>HYPERLINK("https://stat100.ameba.jp/tnk47/ratio20/illustrations/card/ill_70301_imagashuntamagonotagehigashi01.jpg", "■")</f>
        <v>■</v>
      </c>
      <c r="G5" s="2" t="s">
        <v>267</v>
      </c>
      <c r="H5" s="2" t="s">
        <v>466</v>
      </c>
      <c r="J5" s="2">
        <v>9</v>
      </c>
      <c r="K5" s="2">
        <v>15390</v>
      </c>
      <c r="L5" s="2">
        <v>17100</v>
      </c>
      <c r="M5" s="2" t="s">
        <v>79</v>
      </c>
      <c r="N5" s="2" t="s">
        <v>985</v>
      </c>
      <c r="O5" s="11"/>
    </row>
    <row r="6" spans="1:15">
      <c r="A6" s="2">
        <v>70311</v>
      </c>
      <c r="B6" s="2" t="s">
        <v>4</v>
      </c>
      <c r="C6" s="2" t="s">
        <v>0</v>
      </c>
      <c r="D6" s="2" t="s">
        <v>3</v>
      </c>
      <c r="E6" s="7" t="s">
        <v>1109</v>
      </c>
      <c r="F6" s="3" t="str">
        <f>HYPERLINK("https://stat100.ameba.jp/tnk47/ratio20/illustrations/card/ill_70311_imagashuntamagonotagenishi01.jpg", "■")</f>
        <v>■</v>
      </c>
      <c r="G6" s="2" t="s">
        <v>266</v>
      </c>
      <c r="H6" s="2" t="s">
        <v>467</v>
      </c>
      <c r="J6" s="2">
        <v>9</v>
      </c>
      <c r="K6" s="2">
        <v>15390</v>
      </c>
      <c r="L6" s="2">
        <v>17100</v>
      </c>
      <c r="M6" s="2" t="s">
        <v>78</v>
      </c>
      <c r="N6" s="2" t="s">
        <v>986</v>
      </c>
      <c r="O6" s="11"/>
    </row>
    <row r="7" spans="1:15">
      <c r="A7" s="2">
        <v>70233</v>
      </c>
      <c r="B7" s="2" t="s">
        <v>4</v>
      </c>
      <c r="C7" s="2" t="s">
        <v>6</v>
      </c>
      <c r="D7" s="2" t="s">
        <v>7</v>
      </c>
      <c r="E7" s="7" t="s">
        <v>1110</v>
      </c>
      <c r="F7" s="3" t="str">
        <f>HYPERLINK("https://stat100.ameba.jp/tnk47/ratio20/illustrations/card/ill_70233_enjunojashin03.jpg", "■")</f>
        <v>■</v>
      </c>
      <c r="G7" s="2" t="s">
        <v>264</v>
      </c>
      <c r="H7" s="2" t="s">
        <v>17</v>
      </c>
      <c r="I7" s="2" t="s">
        <v>84</v>
      </c>
      <c r="J7" s="2">
        <v>8</v>
      </c>
      <c r="K7" s="2">
        <v>23712</v>
      </c>
      <c r="L7" s="2">
        <v>21507</v>
      </c>
      <c r="M7" s="2" t="s">
        <v>77</v>
      </c>
      <c r="N7" s="2" t="s">
        <v>987</v>
      </c>
      <c r="O7" s="11" t="s">
        <v>1536</v>
      </c>
    </row>
    <row r="8" spans="1:15">
      <c r="A8" s="2">
        <v>70243</v>
      </c>
      <c r="B8" s="2" t="s">
        <v>4</v>
      </c>
      <c r="C8" s="2" t="s">
        <v>8</v>
      </c>
      <c r="D8" s="2" t="s">
        <v>7</v>
      </c>
      <c r="E8" s="7" t="s">
        <v>1111</v>
      </c>
      <c r="F8" s="3" t="str">
        <f>HYPERLINK("https://stat100.ameba.jp/tnk47/ratio20/illustrations/card/ill_70243_jumokko03.jpg", "■")</f>
        <v>■</v>
      </c>
      <c r="G8" s="2" t="s">
        <v>263</v>
      </c>
      <c r="H8" s="2" t="s">
        <v>18</v>
      </c>
      <c r="I8" s="2" t="s">
        <v>82</v>
      </c>
      <c r="J8" s="2">
        <v>9</v>
      </c>
      <c r="K8" s="2">
        <v>26676</v>
      </c>
      <c r="L8" s="2">
        <v>24195</v>
      </c>
      <c r="M8" s="2" t="s">
        <v>76</v>
      </c>
      <c r="N8" s="2" t="s">
        <v>988</v>
      </c>
      <c r="O8" s="11"/>
    </row>
    <row r="9" spans="1:15">
      <c r="A9" s="2">
        <v>70253</v>
      </c>
      <c r="B9" s="2" t="s">
        <v>10</v>
      </c>
      <c r="C9" s="2" t="s">
        <v>9</v>
      </c>
      <c r="D9" s="2" t="s">
        <v>7</v>
      </c>
      <c r="E9" s="7" t="s">
        <v>1112</v>
      </c>
      <c r="F9" s="3" t="str">
        <f>HYPERLINK("https://stat100.ameba.jp/tnk47/ratio20/illustrations/card/ill_70253_tamamonomae03.jpg", "■")</f>
        <v>■</v>
      </c>
      <c r="G9" s="2" t="s">
        <v>262</v>
      </c>
      <c r="H9" s="2" t="s">
        <v>19</v>
      </c>
      <c r="I9" s="2" t="s">
        <v>83</v>
      </c>
      <c r="J9" s="2">
        <v>11</v>
      </c>
      <c r="K9" s="2">
        <v>19016</v>
      </c>
      <c r="L9" s="2">
        <v>22871</v>
      </c>
      <c r="M9" s="2" t="s">
        <v>75</v>
      </c>
      <c r="N9" s="2" t="s">
        <v>11</v>
      </c>
      <c r="O9" s="11"/>
    </row>
    <row r="10" spans="1:15">
      <c r="A10" s="2">
        <v>70263</v>
      </c>
      <c r="B10" s="2" t="s">
        <v>10</v>
      </c>
      <c r="C10" s="2" t="s">
        <v>12</v>
      </c>
      <c r="D10" s="2" t="s">
        <v>7</v>
      </c>
      <c r="E10" s="7" t="s">
        <v>1113</v>
      </c>
      <c r="F10" s="3" t="str">
        <f>HYPERLINK("https://stat100.ameba.jp/tnk47/ratio20/illustrations/card/ill_70263_ryorambeshimanobakeneko03.jpg", "■")</f>
        <v>■</v>
      </c>
      <c r="G10" s="2" t="s">
        <v>258</v>
      </c>
      <c r="H10" s="2" t="s">
        <v>64</v>
      </c>
      <c r="I10" s="2" t="s">
        <v>65</v>
      </c>
      <c r="J10" s="2">
        <v>7</v>
      </c>
      <c r="K10" s="2">
        <v>14554</v>
      </c>
      <c r="L10" s="2">
        <v>12101</v>
      </c>
      <c r="M10" s="2" t="s">
        <v>74</v>
      </c>
      <c r="N10" s="2" t="s">
        <v>989</v>
      </c>
      <c r="O10" s="11"/>
    </row>
    <row r="11" spans="1:15">
      <c r="A11" s="2">
        <v>70273</v>
      </c>
      <c r="B11" s="2" t="s">
        <v>13</v>
      </c>
      <c r="C11" s="2" t="s">
        <v>15</v>
      </c>
      <c r="D11" s="2" t="s">
        <v>7</v>
      </c>
      <c r="E11" s="7" t="s">
        <v>1114</v>
      </c>
      <c r="F11" s="3" t="str">
        <f>HYPERLINK("https://stat100.ameba.jp/tnk47/ratio20/illustrations/card/ill_70273_akateko03.jpg", "■")</f>
        <v>■</v>
      </c>
      <c r="G11" s="2" t="s">
        <v>259</v>
      </c>
      <c r="H11" s="2" t="s">
        <v>122</v>
      </c>
      <c r="I11" s="2" t="s">
        <v>733</v>
      </c>
      <c r="J11" s="2">
        <v>5</v>
      </c>
      <c r="K11" s="2">
        <v>5286</v>
      </c>
      <c r="L11" s="2">
        <v>6294</v>
      </c>
      <c r="M11" s="2" t="s">
        <v>73</v>
      </c>
      <c r="N11" s="2" t="s">
        <v>14</v>
      </c>
      <c r="O11" s="11"/>
    </row>
    <row r="12" spans="1:15">
      <c r="A12" s="2">
        <v>70283</v>
      </c>
      <c r="B12" s="2" t="s">
        <v>13</v>
      </c>
      <c r="C12" s="2" t="s">
        <v>68</v>
      </c>
      <c r="D12" s="2" t="s">
        <v>3</v>
      </c>
      <c r="E12" s="7" t="s">
        <v>1115</v>
      </c>
      <c r="F12" s="3" t="str">
        <f>HYPERLINK("https://stat100.ameba.jp/tnk47/ratio20/illustrations/card/ill_70283_katsuobushi03.jpg", "■")</f>
        <v>■</v>
      </c>
      <c r="G12" s="2" t="s">
        <v>260</v>
      </c>
      <c r="H12" s="2" t="s">
        <v>122</v>
      </c>
      <c r="I12" s="2" t="s">
        <v>733</v>
      </c>
      <c r="J12" s="2">
        <v>10</v>
      </c>
      <c r="K12" s="2">
        <v>10572</v>
      </c>
      <c r="L12" s="2">
        <v>12588</v>
      </c>
      <c r="M12" s="2" t="s">
        <v>69</v>
      </c>
      <c r="N12" s="2" t="s">
        <v>70</v>
      </c>
      <c r="O12" s="11"/>
    </row>
    <row r="13" spans="1:15">
      <c r="A13" s="2">
        <v>70293</v>
      </c>
      <c r="B13" s="2" t="s">
        <v>13</v>
      </c>
      <c r="C13" s="2" t="s">
        <v>60</v>
      </c>
      <c r="D13" s="2" t="s">
        <v>40</v>
      </c>
      <c r="E13" s="7" t="s">
        <v>1116</v>
      </c>
      <c r="F13" s="3" t="str">
        <f>HYPERLINK("https://stat100.ameba.jp/tnk47/ratio20/illustrations/card/ill_70293_nanbutoshinao03.jpg", "■")</f>
        <v>■</v>
      </c>
      <c r="G13" s="2" t="s">
        <v>261</v>
      </c>
      <c r="H13" s="2" t="s">
        <v>122</v>
      </c>
      <c r="I13" s="2" t="s">
        <v>733</v>
      </c>
      <c r="J13" s="2">
        <v>10</v>
      </c>
      <c r="K13" s="2">
        <v>12588</v>
      </c>
      <c r="L13" s="2">
        <v>10572</v>
      </c>
      <c r="M13" s="2" t="s">
        <v>71</v>
      </c>
      <c r="N13" s="2" t="s">
        <v>72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7997-4D11-43CE-B7DE-2BE2B15884A3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96223</v>
      </c>
      <c r="B3" s="2" t="s">
        <v>726</v>
      </c>
      <c r="C3" s="2" t="s">
        <v>92</v>
      </c>
      <c r="D3" s="2" t="s">
        <v>114</v>
      </c>
      <c r="E3" s="7" t="s">
        <v>1824</v>
      </c>
      <c r="F3" s="3" t="str">
        <f>HYPERLINK("https://stat100.ameba.jp/tnk47/ratio20/illustrations/card/ill_96223_ohinasamamatsuotaseko03.jpg", "■")</f>
        <v>■</v>
      </c>
      <c r="G3" s="2" t="s">
        <v>1851</v>
      </c>
      <c r="H3" s="2" t="s">
        <v>1734</v>
      </c>
      <c r="I3" s="2" t="s">
        <v>876</v>
      </c>
      <c r="J3" s="2">
        <v>19</v>
      </c>
      <c r="K3" s="2">
        <v>109897</v>
      </c>
      <c r="L3" s="2">
        <v>118199</v>
      </c>
      <c r="M3" s="2" t="s">
        <v>1823</v>
      </c>
      <c r="N3" s="2" t="s">
        <v>1852</v>
      </c>
      <c r="O3" s="2" t="s">
        <v>2026</v>
      </c>
    </row>
    <row r="4" spans="1:15">
      <c r="A4" s="2">
        <v>96305</v>
      </c>
      <c r="B4" s="2" t="s">
        <v>726</v>
      </c>
      <c r="C4" s="2" t="s">
        <v>1713</v>
      </c>
      <c r="D4" s="2" t="s">
        <v>128</v>
      </c>
      <c r="E4" s="7" t="s">
        <v>1826</v>
      </c>
      <c r="F4" s="3" t="str">
        <f>HYPERLINK("https://stat100.ameba.jp/tnk47/ratio20/illustrations/card/ill_96305_madenokojinotsubone05.jpg", "■")</f>
        <v>■</v>
      </c>
      <c r="G4" s="2" t="s">
        <v>1850</v>
      </c>
      <c r="H4" s="2" t="s">
        <v>1735</v>
      </c>
      <c r="I4" s="2" t="s">
        <v>1904</v>
      </c>
      <c r="J4" s="2">
        <v>15</v>
      </c>
      <c r="K4" s="2">
        <v>67525</v>
      </c>
      <c r="L4" s="2">
        <v>48889</v>
      </c>
      <c r="M4" s="2" t="s">
        <v>1825</v>
      </c>
      <c r="N4" s="2" t="s">
        <v>1079</v>
      </c>
      <c r="O4" s="11"/>
    </row>
    <row r="5" spans="1:15">
      <c r="A5" s="2">
        <v>96233</v>
      </c>
      <c r="B5" s="2" t="s">
        <v>4</v>
      </c>
      <c r="C5" s="2" t="s">
        <v>12</v>
      </c>
      <c r="D5" s="2" t="s">
        <v>128</v>
      </c>
      <c r="E5" s="7" t="s">
        <v>1828</v>
      </c>
      <c r="F5" s="3" t="str">
        <f>HYPERLINK("https://stat100.ameba.jp/tnk47/ratio20/illustrations/card/ill_96233_kodaiin03.jpg", "■")</f>
        <v>■</v>
      </c>
      <c r="G5" s="2" t="s">
        <v>1849</v>
      </c>
      <c r="H5" s="2" t="s">
        <v>1857</v>
      </c>
      <c r="I5" s="2" t="s">
        <v>1763</v>
      </c>
      <c r="J5" s="2">
        <v>15</v>
      </c>
      <c r="K5" s="2">
        <v>44460</v>
      </c>
      <c r="L5" s="2">
        <v>40326</v>
      </c>
      <c r="M5" s="2" t="s">
        <v>1827</v>
      </c>
      <c r="N5" s="2" t="s">
        <v>981</v>
      </c>
      <c r="O5" s="11"/>
    </row>
    <row r="6" spans="1:15">
      <c r="A6" s="2">
        <v>96243</v>
      </c>
      <c r="B6" s="2" t="s">
        <v>4</v>
      </c>
      <c r="C6" s="2" t="s">
        <v>6</v>
      </c>
      <c r="D6" s="2" t="s">
        <v>90</v>
      </c>
      <c r="E6" s="7" t="s">
        <v>1830</v>
      </c>
      <c r="F6" s="3" t="str">
        <f>HYPERLINK("https://stat100.ameba.jp/tnk47/ratio20/illustrations/card/ill_96243_kurohime03.jpg", "■")</f>
        <v>■</v>
      </c>
      <c r="G6" s="2" t="s">
        <v>1848</v>
      </c>
      <c r="H6" s="2" t="s">
        <v>1737</v>
      </c>
      <c r="I6" s="2" t="s">
        <v>1762</v>
      </c>
      <c r="J6" s="2">
        <v>15</v>
      </c>
      <c r="K6" s="2">
        <v>40326</v>
      </c>
      <c r="L6" s="2">
        <v>44460</v>
      </c>
      <c r="M6" s="2" t="s">
        <v>1829</v>
      </c>
      <c r="N6" s="2" t="s">
        <v>1020</v>
      </c>
      <c r="O6" s="11"/>
    </row>
    <row r="7" spans="1:15">
      <c r="A7" s="2">
        <v>96263</v>
      </c>
      <c r="B7" s="2" t="s">
        <v>10</v>
      </c>
      <c r="C7" s="2" t="s">
        <v>370</v>
      </c>
      <c r="D7" s="2" t="s">
        <v>93</v>
      </c>
      <c r="E7" s="7" t="s">
        <v>1832</v>
      </c>
      <c r="F7" s="3" t="str">
        <f>HYPERLINK("https://stat100.ameba.jp/tnk47/ratio20/illustrations/card/ill_96263_fukuyamakotosousha03.jpg", "■")</f>
        <v>■</v>
      </c>
      <c r="G7" s="2" t="s">
        <v>1847</v>
      </c>
      <c r="H7" s="2" t="s">
        <v>1738</v>
      </c>
      <c r="I7" s="2" t="s">
        <v>1739</v>
      </c>
      <c r="J7" s="2">
        <v>17</v>
      </c>
      <c r="K7" s="2">
        <v>29389</v>
      </c>
      <c r="L7" s="2">
        <v>35346</v>
      </c>
      <c r="M7" s="2" t="s">
        <v>1831</v>
      </c>
      <c r="N7" s="2" t="s">
        <v>1476</v>
      </c>
      <c r="O7" s="11"/>
    </row>
    <row r="8" spans="1:15">
      <c r="A8" s="2">
        <v>96253</v>
      </c>
      <c r="B8" s="2" t="s">
        <v>10</v>
      </c>
      <c r="C8" s="2" t="s">
        <v>1354</v>
      </c>
      <c r="D8" s="2" t="s">
        <v>90</v>
      </c>
      <c r="E8" s="7" t="s">
        <v>1834</v>
      </c>
      <c r="F8" s="3" t="str">
        <f>HYPERLINK("https://stat100.ameba.jp/tnk47/ratio20/illustrations/card/ill_96253_sanninkanjo03.jpg", "■")</f>
        <v>■</v>
      </c>
      <c r="G8" s="2" t="s">
        <v>1846</v>
      </c>
      <c r="H8" s="2" t="s">
        <v>1740</v>
      </c>
      <c r="I8" s="2" t="s">
        <v>1761</v>
      </c>
      <c r="J8" s="2">
        <v>13</v>
      </c>
      <c r="K8" s="2">
        <v>27029</v>
      </c>
      <c r="L8" s="2">
        <v>22474</v>
      </c>
      <c r="M8" s="2" t="s">
        <v>1833</v>
      </c>
      <c r="N8" s="2" t="s">
        <v>604</v>
      </c>
      <c r="O8" s="11"/>
    </row>
    <row r="9" spans="1:15">
      <c r="A9" s="2">
        <v>96273</v>
      </c>
      <c r="B9" s="2" t="s">
        <v>13</v>
      </c>
      <c r="C9" s="2" t="s">
        <v>12</v>
      </c>
      <c r="D9" s="2" t="s">
        <v>90</v>
      </c>
      <c r="E9" s="7" t="s">
        <v>1836</v>
      </c>
      <c r="F9" s="3" t="str">
        <f>HYPERLINK("https://stat100.ameba.jp/tnk47/ratio20/illustrations/card/ill_96273_yanagawahinamatsuri03.jpg", "■")</f>
        <v>■</v>
      </c>
      <c r="G9" s="2" t="s">
        <v>1845</v>
      </c>
      <c r="H9" s="2" t="s">
        <v>122</v>
      </c>
      <c r="I9" s="2" t="s">
        <v>1856</v>
      </c>
      <c r="J9" s="2">
        <v>11</v>
      </c>
      <c r="K9" s="2">
        <v>13846</v>
      </c>
      <c r="L9" s="2">
        <v>11629</v>
      </c>
      <c r="M9" s="2" t="s">
        <v>1835</v>
      </c>
      <c r="N9" s="2" t="s">
        <v>112</v>
      </c>
      <c r="O9" s="11"/>
    </row>
    <row r="10" spans="1:15">
      <c r="A10" s="2">
        <v>96283</v>
      </c>
      <c r="B10" s="2" t="s">
        <v>13</v>
      </c>
      <c r="C10" s="2" t="s">
        <v>1840</v>
      </c>
      <c r="D10" s="2" t="s">
        <v>90</v>
      </c>
      <c r="E10" s="7" t="s">
        <v>1839</v>
      </c>
      <c r="F10" s="3" t="str">
        <f>HYPERLINK("https://stat100.ameba.jp/tnk47/ratio20/illustrations/card/ill_96283_konosubina03.jpg", "■")</f>
        <v>■</v>
      </c>
      <c r="G10" s="15" t="s">
        <v>1843</v>
      </c>
      <c r="H10" s="2" t="s">
        <v>122</v>
      </c>
      <c r="I10" s="2" t="s">
        <v>1742</v>
      </c>
      <c r="J10" s="2">
        <v>12</v>
      </c>
      <c r="K10" s="2">
        <v>12686</v>
      </c>
      <c r="L10" s="2">
        <v>15105</v>
      </c>
      <c r="M10" s="2" t="s">
        <v>1838</v>
      </c>
      <c r="N10" s="2" t="s">
        <v>1837</v>
      </c>
      <c r="O10" s="11"/>
    </row>
    <row r="11" spans="1:15">
      <c r="A11" s="2">
        <v>96293</v>
      </c>
      <c r="B11" s="2" t="s">
        <v>13</v>
      </c>
      <c r="C11" s="2" t="s">
        <v>15</v>
      </c>
      <c r="D11" s="2" t="s">
        <v>93</v>
      </c>
      <c r="E11" s="7" t="s">
        <v>1842</v>
      </c>
      <c r="F11" s="3" t="str">
        <f>HYPERLINK("https://stat100.ameba.jp/tnk47/ratio20/illustrations/card/ill_96293_hirosakijo03.jpg", "■")</f>
        <v>■</v>
      </c>
      <c r="G11" s="2" t="s">
        <v>1844</v>
      </c>
      <c r="H11" s="2" t="s">
        <v>122</v>
      </c>
      <c r="I11" s="2" t="s">
        <v>1742</v>
      </c>
      <c r="J11" s="2">
        <v>12</v>
      </c>
      <c r="K11" s="2">
        <v>15105</v>
      </c>
      <c r="L11" s="2">
        <v>12686</v>
      </c>
      <c r="M11" s="2" t="s">
        <v>1841</v>
      </c>
      <c r="N11" s="2" t="s">
        <v>692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H23" s="2" t="s">
        <v>2265</v>
      </c>
      <c r="I23" s="2" t="s">
        <v>1561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96393</v>
      </c>
      <c r="B31" s="2" t="s">
        <v>10</v>
      </c>
      <c r="C31" s="2" t="s">
        <v>12</v>
      </c>
      <c r="D31" s="2" t="s">
        <v>154</v>
      </c>
      <c r="E31" s="7" t="s">
        <v>1853</v>
      </c>
      <c r="F31" s="3" t="str">
        <f>HYPERLINK("https://stat100.ameba.jp/tnk47/ratio20/illustrations/card/ill_96393_mukashibanashimunakatasanjojin03.jpg", "■")</f>
        <v>■</v>
      </c>
      <c r="G31" s="2" t="s">
        <v>1855</v>
      </c>
      <c r="H31" s="2" t="s">
        <v>926</v>
      </c>
      <c r="I31" s="2" t="s">
        <v>1859</v>
      </c>
      <c r="J31" s="2">
        <v>14</v>
      </c>
      <c r="K31" s="2" t="s">
        <v>920</v>
      </c>
      <c r="L31" s="2" t="s">
        <v>920</v>
      </c>
      <c r="M31" s="2" t="s">
        <v>1854</v>
      </c>
      <c r="N31" s="2" t="s">
        <v>165</v>
      </c>
    </row>
  </sheetData>
  <phoneticPr fontId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474B-D9C1-4AEE-98A0-024DEFE66939}">
  <dimension ref="A1:O31"/>
  <sheetViews>
    <sheetView zoomScale="55" zoomScaleNormal="55" workbookViewId="0">
      <pane ySplit="1" topLeftCell="A2" activePane="bottomLeft" state="frozen"/>
      <selection activeCell="G4" sqref="G4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96863</v>
      </c>
      <c r="B3" s="2" t="s">
        <v>726</v>
      </c>
      <c r="C3" s="2" t="s">
        <v>92</v>
      </c>
      <c r="D3" s="2" t="s">
        <v>154</v>
      </c>
      <c r="E3" s="7" t="s">
        <v>1866</v>
      </c>
      <c r="F3" s="3" t="str">
        <f>HYPERLINK("https://stat100.ameba.jp/tnk47/ratio20/illustrations/card/ill_96863_sakurakotenyamagamisama03.jpg", "■")</f>
        <v>■</v>
      </c>
      <c r="G3" s="15" t="s">
        <v>1898</v>
      </c>
      <c r="H3" s="2" t="s">
        <v>1888</v>
      </c>
      <c r="I3" s="2" t="s">
        <v>876</v>
      </c>
      <c r="J3" s="2">
        <v>19</v>
      </c>
      <c r="K3" s="2">
        <v>75400</v>
      </c>
      <c r="L3" s="2">
        <v>81107</v>
      </c>
      <c r="M3" s="2" t="s">
        <v>1865</v>
      </c>
      <c r="N3" s="2" t="s">
        <v>1889</v>
      </c>
      <c r="O3" s="2" t="s">
        <v>2031</v>
      </c>
    </row>
    <row r="4" spans="1:15">
      <c r="A4" s="2">
        <v>96945</v>
      </c>
      <c r="B4" s="2" t="s">
        <v>726</v>
      </c>
      <c r="C4" s="2" t="s">
        <v>1563</v>
      </c>
      <c r="D4" s="2" t="s">
        <v>93</v>
      </c>
      <c r="E4" s="7" t="s">
        <v>1868</v>
      </c>
      <c r="F4" s="3" t="str">
        <f>HYPERLINK("https://stat100.ameba.jp/tnk47/ratio20/illustrations/card/ill_96945_hyakkaryoran05.jpg", "■")</f>
        <v>■</v>
      </c>
      <c r="G4" s="2" t="s">
        <v>1899</v>
      </c>
      <c r="H4" s="2" t="s">
        <v>1735</v>
      </c>
      <c r="I4" s="2" t="s">
        <v>1905</v>
      </c>
      <c r="J4" s="2">
        <v>15</v>
      </c>
      <c r="K4" s="2">
        <v>56945</v>
      </c>
      <c r="L4" s="2">
        <v>78654</v>
      </c>
      <c r="M4" s="2" t="s">
        <v>1867</v>
      </c>
      <c r="N4" s="2" t="s">
        <v>1890</v>
      </c>
      <c r="O4" s="11"/>
    </row>
    <row r="5" spans="1:15">
      <c r="A5" s="2">
        <v>96873</v>
      </c>
      <c r="B5" s="2" t="s">
        <v>4</v>
      </c>
      <c r="C5" s="2" t="s">
        <v>8</v>
      </c>
      <c r="D5" s="2" t="s">
        <v>93</v>
      </c>
      <c r="E5" s="7" t="s">
        <v>1870</v>
      </c>
      <c r="F5" s="3" t="str">
        <f>HYPERLINK("https://stat100.ameba.jp/tnk47/ratio20/illustrations/card/ill_96873_harumaiaomeno03.jpg", "■")</f>
        <v>■</v>
      </c>
      <c r="G5" s="2" t="s">
        <v>1897</v>
      </c>
      <c r="H5" s="2" t="s">
        <v>1896</v>
      </c>
      <c r="I5" s="2" t="s">
        <v>1902</v>
      </c>
      <c r="J5" s="2">
        <v>15</v>
      </c>
      <c r="K5" s="2">
        <v>44460</v>
      </c>
      <c r="L5" s="2">
        <v>40326</v>
      </c>
      <c r="M5" s="2" t="s">
        <v>1869</v>
      </c>
      <c r="N5" s="2" t="s">
        <v>1813</v>
      </c>
      <c r="O5" s="11"/>
    </row>
    <row r="6" spans="1:15">
      <c r="A6" s="2">
        <v>96883</v>
      </c>
      <c r="B6" s="2" t="s">
        <v>4</v>
      </c>
      <c r="C6" s="2" t="s">
        <v>98</v>
      </c>
      <c r="D6" s="2" t="s">
        <v>118</v>
      </c>
      <c r="E6" s="7" t="s">
        <v>1872</v>
      </c>
      <c r="F6" s="3" t="str">
        <f>HYPERLINK("https://stat100.ameba.jp/tnk47/ratio20/illustrations/card/ill_96883_naginatasonobehideo03.jpg", "■")</f>
        <v>■</v>
      </c>
      <c r="G6" s="2" t="s">
        <v>1901</v>
      </c>
      <c r="H6" s="2" t="s">
        <v>1737</v>
      </c>
      <c r="I6" s="2" t="s">
        <v>1762</v>
      </c>
      <c r="J6" s="2">
        <v>15</v>
      </c>
      <c r="K6" s="2">
        <v>40326</v>
      </c>
      <c r="L6" s="2">
        <v>44460</v>
      </c>
      <c r="M6" s="2" t="s">
        <v>1871</v>
      </c>
      <c r="N6" s="2" t="s">
        <v>1040</v>
      </c>
      <c r="O6" s="11"/>
    </row>
    <row r="7" spans="1:15">
      <c r="A7" s="2">
        <v>96903</v>
      </c>
      <c r="B7" s="2" t="s">
        <v>10</v>
      </c>
      <c r="C7" s="2" t="s">
        <v>12</v>
      </c>
      <c r="D7" s="2" t="s">
        <v>151</v>
      </c>
      <c r="E7" s="7" t="s">
        <v>1874</v>
      </c>
      <c r="F7" s="3" t="str">
        <f>HYPERLINK("https://stat100.ameba.jp/tnk47/ratio20/illustrations/card/ill_96903_sakuragoromoakazomemon03.jpg", "■")</f>
        <v>■</v>
      </c>
      <c r="G7" s="2" t="s">
        <v>1895</v>
      </c>
      <c r="H7" s="2" t="s">
        <v>1738</v>
      </c>
      <c r="I7" s="2" t="s">
        <v>1739</v>
      </c>
      <c r="J7" s="2">
        <v>17</v>
      </c>
      <c r="K7" s="2">
        <v>29389</v>
      </c>
      <c r="L7" s="2">
        <v>35346</v>
      </c>
      <c r="M7" s="2" t="s">
        <v>1873</v>
      </c>
      <c r="N7" s="2" t="s">
        <v>1047</v>
      </c>
      <c r="O7" s="11"/>
    </row>
    <row r="8" spans="1:15">
      <c r="A8" s="2">
        <v>96893</v>
      </c>
      <c r="B8" s="2" t="s">
        <v>10</v>
      </c>
      <c r="C8" s="2" t="s">
        <v>138</v>
      </c>
      <c r="D8" s="2" t="s">
        <v>53</v>
      </c>
      <c r="E8" s="7" t="s">
        <v>1876</v>
      </c>
      <c r="F8" s="3" t="str">
        <f>HYPERLINK("https://stat100.ameba.jp/tnk47/ratio20/illustrations/card/ill_96893_kuzuzakura03.jpg", "■")</f>
        <v>■</v>
      </c>
      <c r="G8" s="2" t="s">
        <v>1900</v>
      </c>
      <c r="H8" s="2" t="s">
        <v>1740</v>
      </c>
      <c r="I8" s="2" t="s">
        <v>1761</v>
      </c>
      <c r="J8" s="2">
        <v>13</v>
      </c>
      <c r="K8" s="2">
        <v>27029</v>
      </c>
      <c r="L8" s="2">
        <v>22474</v>
      </c>
      <c r="M8" s="2" t="s">
        <v>1875</v>
      </c>
      <c r="N8" s="2" t="s">
        <v>940</v>
      </c>
      <c r="O8" s="11"/>
    </row>
    <row r="9" spans="1:15">
      <c r="A9" s="2">
        <v>96913</v>
      </c>
      <c r="B9" s="2" t="s">
        <v>13</v>
      </c>
      <c r="C9" s="2" t="s">
        <v>1784</v>
      </c>
      <c r="D9" s="2" t="s">
        <v>154</v>
      </c>
      <c r="E9" s="7" t="s">
        <v>1878</v>
      </c>
      <c r="F9" s="3" t="str">
        <f>HYPERLINK("https://stat100.ameba.jp/tnk47/ratio20/illustrations/card/ill_96913_sakuramegurikoropokkuru03.jpg", "■")</f>
        <v>■</v>
      </c>
      <c r="G9" s="2" t="s">
        <v>1894</v>
      </c>
      <c r="H9" s="2" t="s">
        <v>122</v>
      </c>
      <c r="I9" s="2" t="s">
        <v>1741</v>
      </c>
      <c r="J9" s="2">
        <v>11</v>
      </c>
      <c r="K9" s="2">
        <v>13846</v>
      </c>
      <c r="L9" s="2">
        <v>11629</v>
      </c>
      <c r="M9" s="2" t="s">
        <v>1877</v>
      </c>
      <c r="N9" s="2" t="s">
        <v>56</v>
      </c>
      <c r="O9" s="11"/>
    </row>
    <row r="10" spans="1:15">
      <c r="A10" s="2">
        <v>96923</v>
      </c>
      <c r="B10" s="2" t="s">
        <v>13</v>
      </c>
      <c r="C10" s="2" t="s">
        <v>1881</v>
      </c>
      <c r="D10" s="2" t="s">
        <v>93</v>
      </c>
      <c r="E10" s="7" t="s">
        <v>1880</v>
      </c>
      <c r="F10" s="3" t="str">
        <f>HYPERLINK("https://stat100.ameba.jp/tnk47/ratio20/illustrations/card/ill_96923_hanamisukajammusume03.jpg", "■")</f>
        <v>■</v>
      </c>
      <c r="G10" s="2" t="s">
        <v>1893</v>
      </c>
      <c r="H10" s="2" t="s">
        <v>122</v>
      </c>
      <c r="I10" s="2" t="s">
        <v>1742</v>
      </c>
      <c r="J10" s="2">
        <v>12</v>
      </c>
      <c r="K10" s="2">
        <v>12686</v>
      </c>
      <c r="L10" s="2">
        <v>15105</v>
      </c>
      <c r="M10" s="2" t="s">
        <v>1879</v>
      </c>
      <c r="N10" s="2" t="s">
        <v>443</v>
      </c>
      <c r="O10" s="11"/>
    </row>
    <row r="11" spans="1:15">
      <c r="A11" s="2">
        <v>96933</v>
      </c>
      <c r="B11" s="2" t="s">
        <v>13</v>
      </c>
      <c r="C11" s="2" t="s">
        <v>1884</v>
      </c>
      <c r="D11" s="2" t="s">
        <v>93</v>
      </c>
      <c r="E11" s="7" t="s">
        <v>1883</v>
      </c>
      <c r="F11" s="3" t="str">
        <f>HYPERLINK("https://stat100.ameba.jp/tnk47/ratio20/illustrations/card/ill_96933_taishogoto03.jpg", "■")</f>
        <v>■</v>
      </c>
      <c r="G11" s="2" t="s">
        <v>1892</v>
      </c>
      <c r="H11" s="2" t="s">
        <v>122</v>
      </c>
      <c r="I11" s="2" t="s">
        <v>1742</v>
      </c>
      <c r="J11" s="2">
        <v>12</v>
      </c>
      <c r="K11" s="2">
        <v>15105</v>
      </c>
      <c r="L11" s="2">
        <v>12686</v>
      </c>
      <c r="M11" s="2" t="s">
        <v>1882</v>
      </c>
      <c r="N11" s="2" t="s">
        <v>692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H26" s="2" t="s">
        <v>2265</v>
      </c>
      <c r="I26" s="2" t="s">
        <v>1561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H29" s="2" t="s">
        <v>926</v>
      </c>
      <c r="I29" s="2" t="s">
        <v>1887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97033</v>
      </c>
      <c r="B31" s="2" t="s">
        <v>10</v>
      </c>
      <c r="C31" s="2" t="s">
        <v>103</v>
      </c>
      <c r="D31" s="2" t="s">
        <v>128</v>
      </c>
      <c r="E31" s="7" t="s">
        <v>1886</v>
      </c>
      <c r="F31" s="3" t="str">
        <f>HYPERLINK("https://stat100.ameba.jp/tnk47/ratio20/illustrations/card/ill_97033_sakurameguriorurinokata03.jpg", "■")</f>
        <v>■</v>
      </c>
      <c r="G31" s="2" t="s">
        <v>1891</v>
      </c>
      <c r="J31" s="2">
        <v>14</v>
      </c>
      <c r="K31" s="2" t="s">
        <v>920</v>
      </c>
      <c r="L31" s="2" t="s">
        <v>920</v>
      </c>
      <c r="M31" s="2" t="s">
        <v>1885</v>
      </c>
      <c r="N31" s="2" t="s">
        <v>301</v>
      </c>
    </row>
  </sheetData>
  <phoneticPr fontId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A5E55-41F1-4726-BB88-BA8B939ADA1B}">
  <dimension ref="A1:O31"/>
  <sheetViews>
    <sheetView zoomScale="55" zoomScaleNormal="55" workbookViewId="0">
      <pane ySplit="1" topLeftCell="A2" activePane="bottomLeft" state="frozen"/>
      <selection activeCell="G4" sqref="G4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97553</v>
      </c>
      <c r="B3" s="2" t="s">
        <v>726</v>
      </c>
      <c r="C3" s="2" t="s">
        <v>92</v>
      </c>
      <c r="D3" s="2" t="s">
        <v>118</v>
      </c>
      <c r="E3" s="7" t="s">
        <v>1907</v>
      </c>
      <c r="F3" s="3" t="str">
        <f>HYPERLINK("https://stat100.ameba.jp/tnk47/ratio20/illustrations/card/ill_97553_shisutahannarideru03.jpg", "■")</f>
        <v>■</v>
      </c>
      <c r="G3" s="15" t="s">
        <v>1944</v>
      </c>
      <c r="H3" s="2" t="s">
        <v>1943</v>
      </c>
      <c r="I3" s="2" t="s">
        <v>856</v>
      </c>
      <c r="J3" s="2">
        <v>19</v>
      </c>
      <c r="K3" s="2">
        <v>93905</v>
      </c>
      <c r="L3" s="2">
        <v>87310</v>
      </c>
      <c r="M3" s="2" t="s">
        <v>1906</v>
      </c>
      <c r="N3" s="2" t="s">
        <v>1364</v>
      </c>
      <c r="O3" s="2" t="s">
        <v>2387</v>
      </c>
    </row>
    <row r="4" spans="1:15">
      <c r="A4" s="2">
        <v>97635</v>
      </c>
      <c r="B4" s="2" t="s">
        <v>726</v>
      </c>
      <c r="C4" s="2" t="s">
        <v>1910</v>
      </c>
      <c r="D4" s="2" t="s">
        <v>90</v>
      </c>
      <c r="E4" s="7" t="s">
        <v>1909</v>
      </c>
      <c r="F4" s="3" t="str">
        <f>HYPERLINK("https://stat100.ameba.jp/tnk47/ratio20/illustrations/card/ill_97635_hanasakamusume05.jpg", "■")</f>
        <v>■</v>
      </c>
      <c r="G4" s="2" t="s">
        <v>1912</v>
      </c>
      <c r="H4" s="2" t="s">
        <v>1735</v>
      </c>
      <c r="I4" s="2" t="s">
        <v>2180</v>
      </c>
      <c r="J4" s="2">
        <v>15</v>
      </c>
      <c r="K4" s="2">
        <v>57088</v>
      </c>
      <c r="L4" s="2">
        <v>78850</v>
      </c>
      <c r="M4" s="2" t="s">
        <v>1908</v>
      </c>
      <c r="N4" s="2" t="s">
        <v>1930</v>
      </c>
      <c r="O4" s="11"/>
    </row>
    <row r="5" spans="1:15">
      <c r="A5" s="2">
        <v>97563</v>
      </c>
      <c r="B5" s="2" t="s">
        <v>4</v>
      </c>
      <c r="C5" s="2" t="s">
        <v>12</v>
      </c>
      <c r="D5" s="2" t="s">
        <v>128</v>
      </c>
      <c r="E5" s="7" t="s">
        <v>1913</v>
      </c>
      <c r="F5" s="3" t="str">
        <f>HYPERLINK("https://stat100.ameba.jp/tnk47/ratio20/illustrations/card/ill_97563_arimaruchia03.jpg", "■")</f>
        <v>■</v>
      </c>
      <c r="G5" s="2" t="s">
        <v>1941</v>
      </c>
      <c r="H5" s="2" t="s">
        <v>1940</v>
      </c>
      <c r="I5" s="2" t="s">
        <v>1942</v>
      </c>
      <c r="J5" s="2">
        <v>15</v>
      </c>
      <c r="K5" s="2">
        <v>40326</v>
      </c>
      <c r="L5" s="2">
        <v>44460</v>
      </c>
      <c r="M5" s="2" t="s">
        <v>1911</v>
      </c>
      <c r="N5" s="2" t="s">
        <v>1811</v>
      </c>
      <c r="O5" s="11"/>
    </row>
    <row r="6" spans="1:15">
      <c r="A6" s="2">
        <v>97573</v>
      </c>
      <c r="B6" s="2" t="s">
        <v>4</v>
      </c>
      <c r="C6" s="2" t="s">
        <v>138</v>
      </c>
      <c r="D6" s="2" t="s">
        <v>154</v>
      </c>
      <c r="E6" s="7" t="s">
        <v>1915</v>
      </c>
      <c r="F6" s="3" t="str">
        <f>HYPERLINK("https://stat100.ameba.jp/tnk47/ratio20/illustrations/card/ill_97573_senjukannonzo03.jpg", "■")</f>
        <v>■</v>
      </c>
      <c r="G6" s="2" t="s">
        <v>1939</v>
      </c>
      <c r="H6" s="2" t="s">
        <v>1737</v>
      </c>
      <c r="I6" s="2" t="s">
        <v>1762</v>
      </c>
      <c r="J6" s="2">
        <v>15</v>
      </c>
      <c r="K6" s="2">
        <v>44460</v>
      </c>
      <c r="L6" s="2">
        <v>40326</v>
      </c>
      <c r="M6" s="2" t="s">
        <v>1914</v>
      </c>
      <c r="N6" s="2" t="s">
        <v>1075</v>
      </c>
      <c r="O6" s="11"/>
    </row>
    <row r="7" spans="1:15">
      <c r="A7" s="2">
        <v>97593</v>
      </c>
      <c r="B7" s="2" t="s">
        <v>10</v>
      </c>
      <c r="C7" s="2" t="s">
        <v>98</v>
      </c>
      <c r="D7" s="2" t="s">
        <v>93</v>
      </c>
      <c r="E7" s="7" t="s">
        <v>1917</v>
      </c>
      <c r="F7" s="3" t="str">
        <f>HYPERLINK("https://stat100.ameba.jp/tnk47/ratio20/illustrations/card/ill_97593_koriyamaunemematsuri03.jpg", "■")</f>
        <v>■</v>
      </c>
      <c r="G7" s="2" t="s">
        <v>1934</v>
      </c>
      <c r="H7" s="2" t="s">
        <v>1738</v>
      </c>
      <c r="I7" s="2" t="s">
        <v>1739</v>
      </c>
      <c r="J7" s="2">
        <v>17</v>
      </c>
      <c r="K7" s="2">
        <v>35346</v>
      </c>
      <c r="L7" s="2">
        <v>29389</v>
      </c>
      <c r="M7" s="2" t="s">
        <v>1916</v>
      </c>
      <c r="N7" s="2" t="s">
        <v>1931</v>
      </c>
      <c r="O7" s="11"/>
    </row>
    <row r="8" spans="1:15">
      <c r="A8" s="2">
        <v>97583</v>
      </c>
      <c r="B8" s="2" t="s">
        <v>10</v>
      </c>
      <c r="C8" s="2" t="s">
        <v>103</v>
      </c>
      <c r="D8" s="2" t="s">
        <v>53</v>
      </c>
      <c r="E8" s="7" t="s">
        <v>1919</v>
      </c>
      <c r="F8" s="3" t="str">
        <f>HYPERLINK("https://stat100.ameba.jp/tnk47/ratio20/illustrations/card/ill_97583_akuameron03.jpg", "■")</f>
        <v>■</v>
      </c>
      <c r="G8" s="2" t="s">
        <v>1937</v>
      </c>
      <c r="H8" s="2" t="s">
        <v>1936</v>
      </c>
      <c r="I8" s="2" t="s">
        <v>1938</v>
      </c>
      <c r="J8" s="2">
        <v>13</v>
      </c>
      <c r="K8" s="2">
        <v>22474</v>
      </c>
      <c r="L8" s="2">
        <v>27029</v>
      </c>
      <c r="M8" s="2" t="s">
        <v>1918</v>
      </c>
      <c r="N8" s="2" t="s">
        <v>51</v>
      </c>
      <c r="O8" s="11"/>
    </row>
    <row r="9" spans="1:15">
      <c r="A9" s="2">
        <v>97603</v>
      </c>
      <c r="B9" s="2" t="s">
        <v>13</v>
      </c>
      <c r="C9" s="2" t="s">
        <v>146</v>
      </c>
      <c r="D9" s="2" t="s">
        <v>53</v>
      </c>
      <c r="E9" s="7" t="s">
        <v>1921</v>
      </c>
      <c r="F9" s="3" t="str">
        <f>HYPERLINK("https://stat100.ameba.jp/tnk47/ratio20/illustrations/card/ill_97603_sasakamachan03.jpg", "■")</f>
        <v>■</v>
      </c>
      <c r="G9" s="2" t="s">
        <v>1935</v>
      </c>
      <c r="H9" s="2" t="s">
        <v>122</v>
      </c>
      <c r="I9" s="2" t="s">
        <v>1741</v>
      </c>
      <c r="J9" s="2">
        <v>11</v>
      </c>
      <c r="K9" s="2">
        <v>11629</v>
      </c>
      <c r="L9" s="2">
        <v>13846</v>
      </c>
      <c r="M9" s="2" t="s">
        <v>1920</v>
      </c>
      <c r="N9" s="2" t="s">
        <v>689</v>
      </c>
      <c r="O9" s="11"/>
    </row>
    <row r="10" spans="1:15">
      <c r="A10" s="2">
        <v>97613</v>
      </c>
      <c r="B10" s="2" t="s">
        <v>13</v>
      </c>
      <c r="C10" s="2" t="s">
        <v>1439</v>
      </c>
      <c r="D10" s="2" t="s">
        <v>114</v>
      </c>
      <c r="E10" s="7" t="s">
        <v>1923</v>
      </c>
      <c r="F10" s="3" t="str">
        <f>HYPERLINK("https://stat100.ameba.jp/tnk47/ratio20/illustrations/card/ill_97613_toribujinakaiteruko03.jpg", "■")</f>
        <v>■</v>
      </c>
      <c r="G10" s="2" t="s">
        <v>1932</v>
      </c>
      <c r="H10" s="2" t="s">
        <v>122</v>
      </c>
      <c r="I10" s="2" t="s">
        <v>1742</v>
      </c>
      <c r="J10" s="2">
        <v>12</v>
      </c>
      <c r="K10" s="2">
        <v>15105</v>
      </c>
      <c r="L10" s="2">
        <v>12686</v>
      </c>
      <c r="M10" s="2" t="s">
        <v>1922</v>
      </c>
      <c r="N10" s="2" t="s">
        <v>217</v>
      </c>
      <c r="O10" s="11"/>
    </row>
    <row r="11" spans="1:15">
      <c r="A11" s="2">
        <v>97623</v>
      </c>
      <c r="B11" s="2" t="s">
        <v>13</v>
      </c>
      <c r="C11" s="2" t="s">
        <v>1354</v>
      </c>
      <c r="D11" s="2" t="s">
        <v>7</v>
      </c>
      <c r="E11" s="7" t="s">
        <v>1925</v>
      </c>
      <c r="F11" s="3" t="str">
        <f>HYPERLINK("https://stat100.ameba.jp/tnk47/ratio20/illustrations/card/ill_97623_menreiki03.jpg", "■")</f>
        <v>■</v>
      </c>
      <c r="G11" s="2" t="s">
        <v>1933</v>
      </c>
      <c r="H11" s="2" t="s">
        <v>122</v>
      </c>
      <c r="I11" s="2" t="s">
        <v>1742</v>
      </c>
      <c r="J11" s="2">
        <v>12</v>
      </c>
      <c r="K11" s="2">
        <v>12686</v>
      </c>
      <c r="L11" s="2">
        <v>15105</v>
      </c>
      <c r="M11" s="2" t="s">
        <v>1924</v>
      </c>
      <c r="N11" s="2" t="s">
        <v>674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H26" s="2" t="s">
        <v>2265</v>
      </c>
      <c r="I26" s="2" t="s">
        <v>1561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97723</v>
      </c>
      <c r="B31" s="2" t="s">
        <v>10</v>
      </c>
      <c r="C31" s="2" t="s">
        <v>8</v>
      </c>
      <c r="D31" s="2" t="s">
        <v>154</v>
      </c>
      <c r="E31" s="7" t="s">
        <v>1926</v>
      </c>
      <c r="F31" s="3" t="str">
        <f>HYPERLINK("https://stat100.ameba.jp/tnk47/ratio20/illustrations/card/ill_97723_setonaikainodarumataiyo03.jpg", "■")</f>
        <v>■</v>
      </c>
      <c r="G31" s="2" t="s">
        <v>1928</v>
      </c>
      <c r="H31" s="2" t="s">
        <v>926</v>
      </c>
      <c r="I31" s="2" t="s">
        <v>1929</v>
      </c>
      <c r="J31" s="2">
        <v>14</v>
      </c>
      <c r="K31" s="2" t="s">
        <v>920</v>
      </c>
      <c r="L31" s="2" t="s">
        <v>920</v>
      </c>
      <c r="M31" s="2" t="s">
        <v>1927</v>
      </c>
      <c r="N31" s="2" t="s">
        <v>165</v>
      </c>
    </row>
  </sheetData>
  <phoneticPr fontId="1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ACE6-144E-4590-9E6B-258E18D654C5}">
  <dimension ref="A1:O31"/>
  <sheetViews>
    <sheetView zoomScale="55" zoomScaleNormal="55" workbookViewId="0">
      <pane ySplit="1" topLeftCell="A2" activePane="bottomLeft" state="frozen"/>
      <selection activeCell="G4" sqref="G4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98243</v>
      </c>
      <c r="B3" s="2" t="s">
        <v>726</v>
      </c>
      <c r="C3" s="2" t="s">
        <v>92</v>
      </c>
      <c r="D3" s="2" t="s">
        <v>90</v>
      </c>
      <c r="E3" s="7" t="s">
        <v>1946</v>
      </c>
      <c r="F3" s="3" t="str">
        <f>HYPERLINK("https://stat100.ameba.jp/tnk47/ratio20/illustrations/card/ill_98243_mafuiaminamotonoyorimitsu03.jpg", "■")</f>
        <v>■</v>
      </c>
      <c r="G3" s="2" t="s">
        <v>1980</v>
      </c>
      <c r="H3" s="2" t="s">
        <v>1982</v>
      </c>
      <c r="I3" s="2" t="s">
        <v>856</v>
      </c>
      <c r="J3" s="2">
        <v>19</v>
      </c>
      <c r="K3" s="2">
        <v>90593</v>
      </c>
      <c r="L3" s="2">
        <v>84214</v>
      </c>
      <c r="M3" s="2" t="s">
        <v>1945</v>
      </c>
      <c r="N3" s="2" t="s">
        <v>1983</v>
      </c>
      <c r="O3" s="11"/>
    </row>
    <row r="4" spans="1:15">
      <c r="A4" s="2">
        <v>98325</v>
      </c>
      <c r="B4" s="2" t="s">
        <v>726</v>
      </c>
      <c r="C4" s="2" t="s">
        <v>1949</v>
      </c>
      <c r="D4" s="2" t="s">
        <v>114</v>
      </c>
      <c r="E4" s="7" t="s">
        <v>1948</v>
      </c>
      <c r="F4" s="3" t="str">
        <f>HYPERLINK("https://stat100.ameba.jp/tnk47/ratio20/illustrations/card/ill_98325_chosokabekunichika05.jpg", "■")</f>
        <v>■</v>
      </c>
      <c r="G4" s="2" t="s">
        <v>1979</v>
      </c>
      <c r="H4" s="2" t="s">
        <v>1981</v>
      </c>
      <c r="I4" s="2" t="s">
        <v>2217</v>
      </c>
      <c r="J4" s="2">
        <v>15</v>
      </c>
      <c r="K4" s="2">
        <v>102783</v>
      </c>
      <c r="L4" s="2">
        <v>74422</v>
      </c>
      <c r="M4" s="2" t="s">
        <v>1947</v>
      </c>
      <c r="N4" s="2" t="s">
        <v>1031</v>
      </c>
      <c r="O4" s="11"/>
    </row>
    <row r="5" spans="1:15">
      <c r="A5" s="2">
        <v>98253</v>
      </c>
      <c r="B5" s="2" t="s">
        <v>4</v>
      </c>
      <c r="C5" s="2" t="s">
        <v>6</v>
      </c>
      <c r="D5" s="2" t="s">
        <v>118</v>
      </c>
      <c r="E5" s="7" t="s">
        <v>1951</v>
      </c>
      <c r="F5" s="3" t="str">
        <f>HYPERLINK("https://stat100.ameba.jp/tnk47/ratio20/illustrations/card/ill_98253_otonanoasobimaejimahisoka03.jpg", "■")</f>
        <v>■</v>
      </c>
      <c r="G5" s="2" t="s">
        <v>1978</v>
      </c>
      <c r="H5" s="2" t="s">
        <v>1976</v>
      </c>
      <c r="I5" s="2" t="s">
        <v>1977</v>
      </c>
      <c r="J5" s="2">
        <v>15</v>
      </c>
      <c r="K5" s="2">
        <v>40326</v>
      </c>
      <c r="L5" s="2">
        <v>44460</v>
      </c>
      <c r="M5" s="2" t="s">
        <v>1950</v>
      </c>
      <c r="N5" s="2" t="s">
        <v>1065</v>
      </c>
      <c r="O5" s="11"/>
    </row>
    <row r="6" spans="1:15">
      <c r="A6" s="2">
        <v>98263</v>
      </c>
      <c r="B6" s="2" t="s">
        <v>4</v>
      </c>
      <c r="C6" s="2" t="s">
        <v>103</v>
      </c>
      <c r="D6" s="2" t="s">
        <v>151</v>
      </c>
      <c r="E6" s="7" t="s">
        <v>1953</v>
      </c>
      <c r="F6" s="3" t="str">
        <f>HYPERLINK("https://stat100.ameba.jp/tnk47/ratio20/illustrations/card/ill_98263_arisubekon03.jpg", "■")</f>
        <v>■</v>
      </c>
      <c r="G6" s="2" t="s">
        <v>1975</v>
      </c>
      <c r="H6" s="2" t="s">
        <v>1737</v>
      </c>
      <c r="I6" s="2" t="s">
        <v>1762</v>
      </c>
      <c r="J6" s="2">
        <v>15</v>
      </c>
      <c r="K6" s="2">
        <v>44460</v>
      </c>
      <c r="L6" s="2">
        <v>40326</v>
      </c>
      <c r="M6" s="2" t="s">
        <v>1952</v>
      </c>
      <c r="N6" s="2" t="s">
        <v>1054</v>
      </c>
      <c r="O6" s="11"/>
    </row>
    <row r="7" spans="1:15">
      <c r="A7" s="2">
        <v>98283</v>
      </c>
      <c r="B7" s="2" t="s">
        <v>10</v>
      </c>
      <c r="C7" s="2" t="s">
        <v>8</v>
      </c>
      <c r="D7" s="2" t="s">
        <v>7</v>
      </c>
      <c r="E7" s="7" t="s">
        <v>1955</v>
      </c>
      <c r="F7" s="3" t="str">
        <f>HYPERLINK("https://stat100.ameba.jp/tnk47/ratio20/illustrations/card/ill_98283_oyayanoyureibi03.jpg", "■")</f>
        <v>■</v>
      </c>
      <c r="G7" s="2" t="s">
        <v>1972</v>
      </c>
      <c r="H7" s="2" t="s">
        <v>1738</v>
      </c>
      <c r="I7" s="2" t="s">
        <v>1739</v>
      </c>
      <c r="J7" s="2">
        <v>17</v>
      </c>
      <c r="K7" s="2">
        <v>35346</v>
      </c>
      <c r="L7" s="2">
        <v>29389</v>
      </c>
      <c r="M7" s="2" t="s">
        <v>1954</v>
      </c>
      <c r="N7" s="2" t="s">
        <v>1080</v>
      </c>
      <c r="O7" s="11"/>
    </row>
    <row r="8" spans="1:15">
      <c r="A8" s="2">
        <v>98273</v>
      </c>
      <c r="B8" s="2" t="s">
        <v>10</v>
      </c>
      <c r="C8" s="2" t="s">
        <v>138</v>
      </c>
      <c r="D8" s="2" t="s">
        <v>93</v>
      </c>
      <c r="E8" s="7" t="s">
        <v>1957</v>
      </c>
      <c r="F8" s="3" t="str">
        <f>HYPERLINK("https://stat100.ameba.jp/tnk47/ratio20/illustrations/card/ill_98273_kuidaorechan03.jpg", "■")</f>
        <v>■</v>
      </c>
      <c r="G8" s="2" t="s">
        <v>1974</v>
      </c>
      <c r="H8" s="2" t="s">
        <v>1740</v>
      </c>
      <c r="I8" s="2" t="s">
        <v>1761</v>
      </c>
      <c r="J8" s="2">
        <v>13</v>
      </c>
      <c r="K8" s="2">
        <v>22474</v>
      </c>
      <c r="L8" s="2">
        <v>27029</v>
      </c>
      <c r="M8" s="2" t="s">
        <v>1956</v>
      </c>
      <c r="N8" s="2" t="s">
        <v>335</v>
      </c>
      <c r="O8" s="11"/>
    </row>
    <row r="9" spans="1:15">
      <c r="A9" s="2">
        <v>98293</v>
      </c>
      <c r="B9" s="2" t="s">
        <v>13</v>
      </c>
      <c r="C9" s="2" t="s">
        <v>1960</v>
      </c>
      <c r="D9" s="2" t="s">
        <v>114</v>
      </c>
      <c r="E9" s="7" t="s">
        <v>1959</v>
      </c>
      <c r="F9" s="3" t="str">
        <f>HYPERLINK("https://stat100.ameba.jp/tnk47/ratio20/illustrations/card/ill_98293_murakuninoyori03.jpg", "■")</f>
        <v>■</v>
      </c>
      <c r="G9" s="2" t="s">
        <v>1973</v>
      </c>
      <c r="H9" s="2" t="s">
        <v>122</v>
      </c>
      <c r="I9" s="2" t="s">
        <v>1803</v>
      </c>
      <c r="J9" s="2">
        <v>11</v>
      </c>
      <c r="K9" s="2">
        <v>11629</v>
      </c>
      <c r="L9" s="2">
        <v>13846</v>
      </c>
      <c r="M9" s="2" t="s">
        <v>1958</v>
      </c>
      <c r="N9" s="2" t="s">
        <v>59</v>
      </c>
      <c r="O9" s="11"/>
    </row>
    <row r="10" spans="1:15">
      <c r="A10" s="2">
        <v>98303</v>
      </c>
      <c r="B10" s="2" t="s">
        <v>13</v>
      </c>
      <c r="C10" s="2" t="s">
        <v>536</v>
      </c>
      <c r="D10" s="2" t="s">
        <v>93</v>
      </c>
      <c r="E10" s="7" t="s">
        <v>1962</v>
      </c>
      <c r="F10" s="3" t="str">
        <f>HYPERLINK("https://stat100.ameba.jp/tnk47/ratio20/illustrations/card/ill_98303_yamechochinchan03.jpg", "■")</f>
        <v>■</v>
      </c>
      <c r="G10" s="2" t="s">
        <v>1970</v>
      </c>
      <c r="H10" s="2" t="s">
        <v>122</v>
      </c>
      <c r="I10" s="2" t="s">
        <v>1742</v>
      </c>
      <c r="J10" s="2">
        <v>12</v>
      </c>
      <c r="K10" s="2">
        <v>15105</v>
      </c>
      <c r="L10" s="2">
        <v>12686</v>
      </c>
      <c r="M10" s="2" t="s">
        <v>1961</v>
      </c>
      <c r="N10" s="2" t="s">
        <v>149</v>
      </c>
      <c r="O10" s="11"/>
    </row>
    <row r="11" spans="1:15">
      <c r="A11" s="2">
        <v>98313</v>
      </c>
      <c r="B11" s="2" t="s">
        <v>13</v>
      </c>
      <c r="C11" s="2" t="s">
        <v>672</v>
      </c>
      <c r="D11" s="2" t="s">
        <v>118</v>
      </c>
      <c r="E11" s="7" t="s">
        <v>1965</v>
      </c>
      <c r="F11" s="3" t="str">
        <f>HYPERLINK("https://stat100.ameba.jp/tnk47/ratio20/illustrations/card/ill_98313_gishumonintango03.jpg", "■")</f>
        <v>■</v>
      </c>
      <c r="G11" s="2" t="s">
        <v>1971</v>
      </c>
      <c r="H11" s="2" t="s">
        <v>122</v>
      </c>
      <c r="I11" s="2" t="s">
        <v>1742</v>
      </c>
      <c r="J11" s="2">
        <v>12</v>
      </c>
      <c r="K11" s="2">
        <v>12686</v>
      </c>
      <c r="L11" s="2">
        <v>15105</v>
      </c>
      <c r="M11" s="2" t="s">
        <v>1964</v>
      </c>
      <c r="N11" s="2" t="s">
        <v>1963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H14" s="2" t="s">
        <v>2265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98413</v>
      </c>
      <c r="B31" s="2" t="s">
        <v>10</v>
      </c>
      <c r="C31" s="2" t="s">
        <v>138</v>
      </c>
      <c r="D31" s="2" t="s">
        <v>53</v>
      </c>
      <c r="E31" s="7" t="s">
        <v>1966</v>
      </c>
      <c r="F31" s="3" t="str">
        <f>HYPERLINK("https://stat100.ameba.jp/tnk47/ratio20/illustrations/card/ill_98413_baresukutakoyakichan03.jpg", "■")</f>
        <v>■</v>
      </c>
      <c r="G31" s="2" t="s">
        <v>1967</v>
      </c>
      <c r="H31" s="2" t="s">
        <v>926</v>
      </c>
      <c r="I31" s="2" t="s">
        <v>1969</v>
      </c>
      <c r="J31" s="2">
        <v>14</v>
      </c>
      <c r="K31" s="2" t="s">
        <v>920</v>
      </c>
      <c r="L31" s="2" t="s">
        <v>920</v>
      </c>
      <c r="M31" s="2" t="s">
        <v>1968</v>
      </c>
      <c r="N31" s="2" t="s">
        <v>940</v>
      </c>
    </row>
  </sheetData>
  <phoneticPr fontId="1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7A34F-40A3-48F0-AA95-783E17365B3A}">
  <dimension ref="A1:O31"/>
  <sheetViews>
    <sheetView zoomScale="55" zoomScaleNormal="55" workbookViewId="0"/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98883</v>
      </c>
      <c r="B3" s="2" t="s">
        <v>726</v>
      </c>
      <c r="C3" s="2" t="s">
        <v>92</v>
      </c>
      <c r="D3" s="2" t="s">
        <v>151</v>
      </c>
      <c r="E3" s="7" t="s">
        <v>1985</v>
      </c>
      <c r="F3" s="3" t="str">
        <f>HYPERLINK("https://stat100.ameba.jp/tnk47/ratio20/illustrations/card/ill_98883_yuwakunomikaganochiyojo03.jpg", "■")</f>
        <v>■</v>
      </c>
      <c r="G3" s="15" t="s">
        <v>2018</v>
      </c>
      <c r="H3" s="2" t="s">
        <v>1982</v>
      </c>
      <c r="I3" s="2" t="s">
        <v>876</v>
      </c>
      <c r="J3" s="2">
        <v>19</v>
      </c>
      <c r="K3" s="2">
        <v>80627</v>
      </c>
      <c r="L3" s="2">
        <v>75009</v>
      </c>
      <c r="M3" s="2" t="s">
        <v>1984</v>
      </c>
      <c r="N3" s="2" t="s">
        <v>2016</v>
      </c>
      <c r="O3" s="11" t="s">
        <v>2175</v>
      </c>
    </row>
    <row r="4" spans="1:15">
      <c r="A4" s="2">
        <v>98965</v>
      </c>
      <c r="B4" s="2" t="s">
        <v>726</v>
      </c>
      <c r="C4" s="2" t="s">
        <v>1910</v>
      </c>
      <c r="D4" s="2" t="s">
        <v>118</v>
      </c>
      <c r="E4" s="7" t="s">
        <v>1987</v>
      </c>
      <c r="F4" s="3" t="str">
        <f>HYPERLINK("https://stat100.ameba.jp/tnk47/ratio20/illustrations/card/ill_98965_waishatsuononokomachi05.jpg", "■")</f>
        <v>■</v>
      </c>
      <c r="G4" s="15" t="s">
        <v>2017</v>
      </c>
      <c r="H4" s="2" t="s">
        <v>1981</v>
      </c>
      <c r="I4" s="2" t="s">
        <v>2015</v>
      </c>
      <c r="J4" s="2">
        <v>15</v>
      </c>
      <c r="K4" s="2">
        <v>70894</v>
      </c>
      <c r="L4" s="2">
        <v>51321</v>
      </c>
      <c r="M4" s="2" t="s">
        <v>1986</v>
      </c>
      <c r="N4" s="2" t="s">
        <v>1812</v>
      </c>
      <c r="O4" s="11"/>
    </row>
    <row r="5" spans="1:15">
      <c r="A5" s="2">
        <v>98893</v>
      </c>
      <c r="B5" s="2" t="s">
        <v>4</v>
      </c>
      <c r="C5" s="2" t="s">
        <v>8</v>
      </c>
      <c r="D5" s="2" t="s">
        <v>128</v>
      </c>
      <c r="E5" s="7" t="s">
        <v>1989</v>
      </c>
      <c r="F5" s="3" t="str">
        <f>HYPERLINK("https://stat100.ameba.jp/tnk47/ratio20/illustrations/card/ill_98893_goryunotsubone03.jpg", "■")</f>
        <v>■</v>
      </c>
      <c r="G5" s="2" t="s">
        <v>2014</v>
      </c>
      <c r="H5" s="2" t="s">
        <v>2012</v>
      </c>
      <c r="I5" s="2" t="s">
        <v>2013</v>
      </c>
      <c r="J5" s="2">
        <v>15</v>
      </c>
      <c r="K5" s="2">
        <v>40326</v>
      </c>
      <c r="L5" s="2">
        <v>44460</v>
      </c>
      <c r="M5" s="2" t="s">
        <v>1988</v>
      </c>
      <c r="N5" s="2" t="s">
        <v>1811</v>
      </c>
      <c r="O5" s="11"/>
    </row>
    <row r="6" spans="1:15">
      <c r="A6" s="2">
        <v>98903</v>
      </c>
      <c r="B6" s="2" t="s">
        <v>4</v>
      </c>
      <c r="C6" s="2" t="s">
        <v>12</v>
      </c>
      <c r="D6" s="2" t="s">
        <v>154</v>
      </c>
      <c r="E6" s="7" t="s">
        <v>1991</v>
      </c>
      <c r="F6" s="3" t="str">
        <f>HYPERLINK("https://stat100.ameba.jp/tnk47/ratio20/illustrations/card/ill_98903_amasuiryuokami03.jpg", "■")</f>
        <v>■</v>
      </c>
      <c r="G6" s="2" t="s">
        <v>2010</v>
      </c>
      <c r="H6" s="2" t="s">
        <v>1737</v>
      </c>
      <c r="I6" s="2" t="s">
        <v>1762</v>
      </c>
      <c r="J6" s="2">
        <v>15</v>
      </c>
      <c r="K6" s="2">
        <v>44460</v>
      </c>
      <c r="L6" s="2">
        <v>40326</v>
      </c>
      <c r="M6" s="2" t="s">
        <v>1990</v>
      </c>
      <c r="N6" s="2" t="s">
        <v>1075</v>
      </c>
      <c r="O6" s="11"/>
    </row>
    <row r="7" spans="1:15">
      <c r="A7" s="2">
        <v>98923</v>
      </c>
      <c r="B7" s="2" t="s">
        <v>10</v>
      </c>
      <c r="C7" s="2" t="s">
        <v>103</v>
      </c>
      <c r="D7" s="2" t="s">
        <v>53</v>
      </c>
      <c r="E7" s="7" t="s">
        <v>1993</v>
      </c>
      <c r="F7" s="3" t="str">
        <f>HYPERLINK("https://stat100.ameba.jp/tnk47/ratio20/illustrations/card/ill_98923_namashirasudon03.jpg", "■")</f>
        <v>■</v>
      </c>
      <c r="G7" s="2" t="s">
        <v>2004</v>
      </c>
      <c r="H7" s="2" t="s">
        <v>1738</v>
      </c>
      <c r="I7" s="2" t="s">
        <v>1739</v>
      </c>
      <c r="J7" s="2">
        <v>17</v>
      </c>
      <c r="K7" s="2">
        <v>35346</v>
      </c>
      <c r="L7" s="2">
        <v>29389</v>
      </c>
      <c r="M7" s="2" t="s">
        <v>1992</v>
      </c>
      <c r="N7" s="2" t="s">
        <v>1055</v>
      </c>
      <c r="O7" s="11"/>
    </row>
    <row r="8" spans="1:15">
      <c r="A8" s="2">
        <v>98913</v>
      </c>
      <c r="B8" s="2" t="s">
        <v>10</v>
      </c>
      <c r="C8" s="2" t="s">
        <v>6</v>
      </c>
      <c r="D8" s="2" t="s">
        <v>7</v>
      </c>
      <c r="E8" s="7" t="s">
        <v>1995</v>
      </c>
      <c r="F8" s="3" t="str">
        <f>HYPERLINK("https://stat100.ameba.jp/tnk47/ratio20/illustrations/card/ill_98913_kaguraguruma03.jpg", "■")</f>
        <v>■</v>
      </c>
      <c r="G8" s="2" t="s">
        <v>2009</v>
      </c>
      <c r="H8" s="2" t="s">
        <v>1740</v>
      </c>
      <c r="I8" s="2" t="s">
        <v>1761</v>
      </c>
      <c r="J8" s="2">
        <v>13</v>
      </c>
      <c r="K8" s="2">
        <v>22474</v>
      </c>
      <c r="L8" s="2">
        <v>27029</v>
      </c>
      <c r="M8" s="2" t="s">
        <v>1994</v>
      </c>
      <c r="N8" s="2" t="s">
        <v>11</v>
      </c>
      <c r="O8" s="11"/>
    </row>
    <row r="9" spans="1:15">
      <c r="A9" s="2">
        <v>98933</v>
      </c>
      <c r="B9" s="2" t="s">
        <v>13</v>
      </c>
      <c r="C9" s="2" t="s">
        <v>1354</v>
      </c>
      <c r="D9" s="2" t="s">
        <v>90</v>
      </c>
      <c r="E9" s="7" t="s">
        <v>1997</v>
      </c>
      <c r="F9" s="3" t="str">
        <f>HYPERLINK("https://stat100.ameba.jp/tnk47/ratio20/illustrations/card/ill_98933_sayogoromo03.jpg", "■")</f>
        <v>■</v>
      </c>
      <c r="G9" s="2" t="s">
        <v>2005</v>
      </c>
      <c r="H9" s="2" t="s">
        <v>122</v>
      </c>
      <c r="I9" s="2" t="s">
        <v>1741</v>
      </c>
      <c r="J9" s="2">
        <v>11</v>
      </c>
      <c r="K9" s="2">
        <v>11629</v>
      </c>
      <c r="L9" s="2">
        <v>13846</v>
      </c>
      <c r="M9" s="2" t="s">
        <v>1996</v>
      </c>
      <c r="N9" s="2" t="s">
        <v>108</v>
      </c>
      <c r="O9" s="11"/>
    </row>
    <row r="10" spans="1:15">
      <c r="A10" s="2">
        <v>98943</v>
      </c>
      <c r="B10" s="2" t="s">
        <v>13</v>
      </c>
      <c r="C10" s="2" t="s">
        <v>1439</v>
      </c>
      <c r="D10" s="2" t="s">
        <v>114</v>
      </c>
      <c r="E10" s="7" t="s">
        <v>1999</v>
      </c>
      <c r="F10" s="3" t="str">
        <f>HYPERLINK("https://stat100.ameba.jp/tnk47/ratio20/illustrations/card/ill_98943_kamiizuminobutsuna03.jpg", "■")</f>
        <v>■</v>
      </c>
      <c r="G10" s="2" t="s">
        <v>2003</v>
      </c>
      <c r="H10" s="2" t="s">
        <v>122</v>
      </c>
      <c r="I10" s="2" t="s">
        <v>1742</v>
      </c>
      <c r="J10" s="2">
        <v>12</v>
      </c>
      <c r="K10" s="2">
        <v>15105</v>
      </c>
      <c r="L10" s="2">
        <v>12686</v>
      </c>
      <c r="M10" s="2" t="s">
        <v>1998</v>
      </c>
      <c r="N10" s="2" t="s">
        <v>72</v>
      </c>
      <c r="O10" s="11"/>
    </row>
    <row r="11" spans="1:15">
      <c r="A11" s="2">
        <v>98953</v>
      </c>
      <c r="B11" s="2" t="s">
        <v>13</v>
      </c>
      <c r="C11" s="2" t="s">
        <v>1784</v>
      </c>
      <c r="D11" s="2" t="s">
        <v>93</v>
      </c>
      <c r="E11" s="7" t="s">
        <v>2001</v>
      </c>
      <c r="F11" s="3" t="str">
        <f>HYPERLINK("https://stat100.ameba.jp/tnk47/ratio20/illustrations/card/ill_98953_umibirakiezojika03.jpg", "■")</f>
        <v>■</v>
      </c>
      <c r="G11" s="2" t="s">
        <v>2002</v>
      </c>
      <c r="H11" s="2" t="s">
        <v>122</v>
      </c>
      <c r="I11" s="2" t="s">
        <v>1742</v>
      </c>
      <c r="J11" s="2">
        <v>12</v>
      </c>
      <c r="K11" s="2">
        <v>12686</v>
      </c>
      <c r="L11" s="2">
        <v>15105</v>
      </c>
      <c r="M11" s="2" t="s">
        <v>2000</v>
      </c>
      <c r="N11" s="2" t="s">
        <v>1728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H14" s="2" t="s">
        <v>1560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H25" s="2" t="s">
        <v>2265</v>
      </c>
      <c r="I25" s="2" t="s">
        <v>1561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99053</v>
      </c>
      <c r="B31" s="2" t="s">
        <v>10</v>
      </c>
      <c r="C31" s="2" t="s">
        <v>6</v>
      </c>
      <c r="D31" s="2" t="s">
        <v>128</v>
      </c>
      <c r="E31" s="7" t="s">
        <v>2006</v>
      </c>
      <c r="F31" s="3" t="str">
        <f>HYPERLINK("https://stat100.ameba.jp/tnk47/ratio20/illustrations/card/ill_99053_utatanenezufujin03.jpg", "■")</f>
        <v>■</v>
      </c>
      <c r="G31" s="2" t="s">
        <v>2007</v>
      </c>
      <c r="H31" s="2" t="s">
        <v>926</v>
      </c>
      <c r="I31" s="2" t="s">
        <v>1625</v>
      </c>
      <c r="J31" s="2">
        <v>14</v>
      </c>
      <c r="K31" s="2" t="s">
        <v>920</v>
      </c>
      <c r="L31" s="2" t="s">
        <v>920</v>
      </c>
      <c r="M31" s="2" t="s">
        <v>2008</v>
      </c>
      <c r="N31" s="2" t="s">
        <v>303</v>
      </c>
    </row>
  </sheetData>
  <phoneticPr fontId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DB0E1-E035-41C6-80FB-1D3A2D398387}">
  <dimension ref="A1:O31"/>
  <sheetViews>
    <sheetView zoomScale="55" zoomScaleNormal="55" workbookViewId="0">
      <pane ySplit="1" topLeftCell="A2" activePane="bottomLeft" state="frozen"/>
      <selection activeCell="G4" sqref="G4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99573</v>
      </c>
      <c r="B3" s="2" t="s">
        <v>726</v>
      </c>
      <c r="C3" s="2" t="s">
        <v>92</v>
      </c>
      <c r="D3" s="2" t="s">
        <v>93</v>
      </c>
      <c r="E3" s="7" t="s">
        <v>2033</v>
      </c>
      <c r="F3" s="3" t="str">
        <f>HYPERLINK("https://stat100.ameba.jp/tnk47/ratio20/illustrations/card/ill_99573_hanabishimagatamachan03.jpg", "■")</f>
        <v>■</v>
      </c>
      <c r="G3" s="2" t="s">
        <v>2108</v>
      </c>
      <c r="H3" s="2" t="s">
        <v>1815</v>
      </c>
      <c r="I3" s="2" t="s">
        <v>876</v>
      </c>
      <c r="J3" s="2">
        <v>19</v>
      </c>
      <c r="K3" s="2">
        <v>90593</v>
      </c>
      <c r="L3" s="2">
        <v>84214</v>
      </c>
      <c r="M3" s="2" t="s">
        <v>2032</v>
      </c>
      <c r="N3" s="2" t="s">
        <v>2051</v>
      </c>
      <c r="O3" s="2" t="s">
        <v>2181</v>
      </c>
    </row>
    <row r="4" spans="1:15">
      <c r="A4" s="2">
        <v>99655</v>
      </c>
      <c r="B4" s="2" t="s">
        <v>726</v>
      </c>
      <c r="C4" s="2" t="s">
        <v>1949</v>
      </c>
      <c r="D4" s="2" t="s">
        <v>7</v>
      </c>
      <c r="E4" s="7" t="s">
        <v>2035</v>
      </c>
      <c r="F4" s="3" t="str">
        <f>HYPERLINK("https://stat100.ameba.jp/tnk47/ratio20/illustrations/card/ill_99655_kinnokaminohi05.jpg", "■")</f>
        <v>■</v>
      </c>
      <c r="G4" s="2" t="s">
        <v>2062</v>
      </c>
      <c r="H4" s="2" t="s">
        <v>1806</v>
      </c>
      <c r="I4" s="2" t="s">
        <v>1903</v>
      </c>
      <c r="J4" s="2">
        <v>15</v>
      </c>
      <c r="K4" s="2">
        <v>51061</v>
      </c>
      <c r="L4" s="2">
        <v>70529</v>
      </c>
      <c r="M4" s="2" t="s">
        <v>2034</v>
      </c>
      <c r="N4" s="2" t="s">
        <v>2052</v>
      </c>
      <c r="O4" s="11"/>
    </row>
    <row r="5" spans="1:15">
      <c r="A5" s="2">
        <v>99583</v>
      </c>
      <c r="B5" s="2" t="s">
        <v>4</v>
      </c>
      <c r="C5" s="2" t="s">
        <v>103</v>
      </c>
      <c r="D5" s="2" t="s">
        <v>93</v>
      </c>
      <c r="E5" s="2" t="s">
        <v>2045</v>
      </c>
      <c r="F5" s="3" t="str">
        <f>HYPERLINK("https://stat100.ameba.jp/tnk47/ratio20/illustrations/card/ill_99583_kasabokochan03.jpg", "■")</f>
        <v>■</v>
      </c>
      <c r="G5" s="2" t="s">
        <v>2109</v>
      </c>
      <c r="H5" s="2" t="s">
        <v>1804</v>
      </c>
      <c r="I5" s="2" t="s">
        <v>1805</v>
      </c>
      <c r="J5" s="2">
        <v>15</v>
      </c>
      <c r="K5" s="2">
        <v>40326</v>
      </c>
      <c r="L5" s="2">
        <v>44460</v>
      </c>
      <c r="M5" s="2" t="s">
        <v>2044</v>
      </c>
      <c r="N5" s="2" t="s">
        <v>976</v>
      </c>
      <c r="O5" s="2" t="s">
        <v>2216</v>
      </c>
    </row>
    <row r="6" spans="1:15">
      <c r="A6" s="2">
        <v>99593</v>
      </c>
      <c r="B6" s="2" t="s">
        <v>4</v>
      </c>
      <c r="C6" s="2" t="s">
        <v>6</v>
      </c>
      <c r="D6" s="2" t="s">
        <v>93</v>
      </c>
      <c r="E6" s="7" t="s">
        <v>2037</v>
      </c>
      <c r="F6" s="3" t="str">
        <f>HYPERLINK("https://stat100.ameba.jp/tnk47/ratio20/illustrations/card/ill_99593_notohanabi03.jpg", "■")</f>
        <v>■</v>
      </c>
      <c r="G6" s="2" t="s">
        <v>2107</v>
      </c>
      <c r="H6" s="2" t="s">
        <v>1737</v>
      </c>
      <c r="I6" s="2" t="s">
        <v>1762</v>
      </c>
      <c r="J6" s="2">
        <v>15</v>
      </c>
      <c r="K6" s="2">
        <v>44460</v>
      </c>
      <c r="L6" s="2">
        <v>40326</v>
      </c>
      <c r="M6" s="2" t="s">
        <v>2036</v>
      </c>
      <c r="N6" s="2" t="s">
        <v>1050</v>
      </c>
      <c r="O6" s="11"/>
    </row>
    <row r="7" spans="1:15">
      <c r="A7" s="2">
        <v>99613</v>
      </c>
      <c r="B7" s="2" t="s">
        <v>10</v>
      </c>
      <c r="C7" s="2" t="s">
        <v>103</v>
      </c>
      <c r="D7" s="2" t="s">
        <v>151</v>
      </c>
      <c r="E7" s="7" t="s">
        <v>2039</v>
      </c>
      <c r="F7" s="3" t="str">
        <f>HYPERLINK("https://stat100.ameba.jp/tnk47/ratio20/illustrations/card/ill_99613_nakanemasamori03.jpg", "■")</f>
        <v>■</v>
      </c>
      <c r="G7" s="2" t="s">
        <v>2058</v>
      </c>
      <c r="H7" s="2" t="s">
        <v>1738</v>
      </c>
      <c r="I7" s="2" t="s">
        <v>1739</v>
      </c>
      <c r="J7" s="2">
        <v>17</v>
      </c>
      <c r="K7" s="2">
        <v>35346</v>
      </c>
      <c r="L7" s="2">
        <v>29389</v>
      </c>
      <c r="M7" s="2" t="s">
        <v>2038</v>
      </c>
      <c r="N7" s="2" t="s">
        <v>1076</v>
      </c>
      <c r="O7" s="11"/>
    </row>
    <row r="8" spans="1:15">
      <c r="A8" s="2">
        <v>99603</v>
      </c>
      <c r="B8" s="2" t="s">
        <v>10</v>
      </c>
      <c r="C8" s="2" t="s">
        <v>138</v>
      </c>
      <c r="D8" s="2" t="s">
        <v>93</v>
      </c>
      <c r="E8" s="7" t="s">
        <v>2041</v>
      </c>
      <c r="F8" s="3" t="str">
        <f>HYPERLINK("https://stat100.ameba.jp/tnk47/ratio20/illustrations/card/ill_99603_sekonoryuseichan03.jpg", "■")</f>
        <v>■</v>
      </c>
      <c r="G8" s="2" t="s">
        <v>2061</v>
      </c>
      <c r="H8" s="2" t="s">
        <v>1740</v>
      </c>
      <c r="I8" s="2" t="s">
        <v>1761</v>
      </c>
      <c r="J8" s="2">
        <v>13</v>
      </c>
      <c r="K8" s="2">
        <v>22474</v>
      </c>
      <c r="L8" s="2">
        <v>27029</v>
      </c>
      <c r="M8" s="2" t="s">
        <v>2040</v>
      </c>
      <c r="N8" s="2" t="s">
        <v>335</v>
      </c>
      <c r="O8" s="11"/>
    </row>
    <row r="9" spans="1:15">
      <c r="A9" s="2">
        <v>99623</v>
      </c>
      <c r="B9" s="2" t="s">
        <v>13</v>
      </c>
      <c r="C9" s="2" t="s">
        <v>1354</v>
      </c>
      <c r="D9" s="2" t="s">
        <v>7</v>
      </c>
      <c r="E9" s="7" t="s">
        <v>2043</v>
      </c>
      <c r="F9" s="3" t="str">
        <f>HYPERLINK("https://stat100.ameba.jp/tnk47/ratio20/illustrations/card/ill_99623_gasyadokuro03.jpg", "■")</f>
        <v>■</v>
      </c>
      <c r="G9" s="2" t="s">
        <v>2057</v>
      </c>
      <c r="H9" s="2" t="s">
        <v>122</v>
      </c>
      <c r="I9" s="2" t="s">
        <v>1803</v>
      </c>
      <c r="J9" s="2">
        <v>11</v>
      </c>
      <c r="K9" s="2">
        <v>11629</v>
      </c>
      <c r="L9" s="2">
        <v>13846</v>
      </c>
      <c r="M9" s="2" t="s">
        <v>2042</v>
      </c>
      <c r="N9" s="2" t="s">
        <v>145</v>
      </c>
      <c r="O9" s="11"/>
    </row>
    <row r="10" spans="1:15">
      <c r="A10" s="2">
        <v>99633</v>
      </c>
      <c r="B10" s="2" t="s">
        <v>13</v>
      </c>
      <c r="C10" s="2" t="s">
        <v>1402</v>
      </c>
      <c r="D10" s="2" t="s">
        <v>7</v>
      </c>
      <c r="E10" s="7" t="s">
        <v>2047</v>
      </c>
      <c r="F10" s="3" t="str">
        <f>HYPERLINK("https://stat100.ameba.jp/tnk47/ratio20/illustrations/card/ill_99633_kasya03.jpg", "■")</f>
        <v>■</v>
      </c>
      <c r="G10" s="2" t="s">
        <v>2060</v>
      </c>
      <c r="H10" s="2" t="s">
        <v>122</v>
      </c>
      <c r="I10" s="2" t="s">
        <v>1742</v>
      </c>
      <c r="J10" s="2">
        <v>12</v>
      </c>
      <c r="K10" s="2">
        <v>15105</v>
      </c>
      <c r="L10" s="2">
        <v>12686</v>
      </c>
      <c r="M10" s="2" t="s">
        <v>2046</v>
      </c>
      <c r="N10" s="2" t="s">
        <v>120</v>
      </c>
      <c r="O10" s="11"/>
    </row>
    <row r="11" spans="1:15">
      <c r="A11" s="2">
        <v>99643</v>
      </c>
      <c r="B11" s="2" t="s">
        <v>13</v>
      </c>
      <c r="C11" s="2" t="s">
        <v>2050</v>
      </c>
      <c r="D11" s="2" t="s">
        <v>7</v>
      </c>
      <c r="E11" s="7" t="s">
        <v>2049</v>
      </c>
      <c r="F11" s="3" t="str">
        <f>HYPERLINK("https://stat100.ameba.jp/tnk47/ratio20/illustrations/card/ill_99643_hanabiyureigasa03.jpg", "■")</f>
        <v>■</v>
      </c>
      <c r="G11" s="2" t="s">
        <v>2059</v>
      </c>
      <c r="H11" s="2" t="s">
        <v>122</v>
      </c>
      <c r="I11" s="2" t="s">
        <v>1742</v>
      </c>
      <c r="J11" s="2">
        <v>12</v>
      </c>
      <c r="K11" s="2">
        <v>12686</v>
      </c>
      <c r="L11" s="2">
        <v>15105</v>
      </c>
      <c r="M11" s="2" t="s">
        <v>2048</v>
      </c>
      <c r="N11" s="2" t="s">
        <v>674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H14" s="2" t="s">
        <v>1560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H24" s="2" t="s">
        <v>2265</v>
      </c>
      <c r="I24" s="2" t="s">
        <v>1561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I25" s="2" t="s">
        <v>1453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99743</v>
      </c>
      <c r="B31" s="2" t="s">
        <v>10</v>
      </c>
      <c r="C31" s="2" t="s">
        <v>8</v>
      </c>
      <c r="D31" s="2" t="s">
        <v>53</v>
      </c>
      <c r="E31" s="7" t="s">
        <v>2053</v>
      </c>
      <c r="F31" s="3" t="str">
        <f>HYPERLINK("https://stat100.ameba.jp/tnk47/ratio20/illustrations/card/ill_99743_natsumikanchan03.jpg", "■")</f>
        <v>■</v>
      </c>
      <c r="G31" s="2" t="s">
        <v>2054</v>
      </c>
      <c r="H31" s="2" t="s">
        <v>926</v>
      </c>
      <c r="I31" s="2" t="s">
        <v>2056</v>
      </c>
      <c r="J31" s="2">
        <v>14</v>
      </c>
      <c r="K31" s="2" t="s">
        <v>920</v>
      </c>
      <c r="L31" s="2" t="s">
        <v>920</v>
      </c>
      <c r="M31" s="2" t="s">
        <v>2055</v>
      </c>
      <c r="N31" s="2" t="s">
        <v>940</v>
      </c>
    </row>
  </sheetData>
  <phoneticPr fontId="1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9876-3B81-424D-BE9C-6AAF24F5B802}">
  <dimension ref="A1:O31"/>
  <sheetViews>
    <sheetView zoomScale="55" zoomScaleNormal="55" workbookViewId="0">
      <pane ySplit="1" topLeftCell="A2" activePane="bottomLeft" state="frozen"/>
      <selection activeCell="G4" sqref="G4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200213</v>
      </c>
      <c r="B3" s="2" t="s">
        <v>726</v>
      </c>
      <c r="C3" s="2" t="s">
        <v>92</v>
      </c>
      <c r="D3" s="2" t="s">
        <v>128</v>
      </c>
      <c r="E3" s="7" t="s">
        <v>2077</v>
      </c>
      <c r="F3" s="3" t="str">
        <f>HYPERLINK("https://stat100.ameba.jp/tnk47/ratio20/illustrations/card/ill_200213_utagenohakaishaakanehime03.jpg", "■")</f>
        <v>■</v>
      </c>
      <c r="G3" s="2" t="s">
        <v>2111</v>
      </c>
      <c r="H3" s="2" t="s">
        <v>2110</v>
      </c>
      <c r="I3" s="2" t="s">
        <v>856</v>
      </c>
      <c r="J3" s="2">
        <v>21</v>
      </c>
      <c r="K3" s="2">
        <v>85839</v>
      </c>
      <c r="L3" s="2">
        <v>79789</v>
      </c>
      <c r="M3" s="2" t="s">
        <v>2068</v>
      </c>
      <c r="N3" s="2" t="s">
        <v>2094</v>
      </c>
      <c r="O3" s="11"/>
    </row>
    <row r="4" spans="1:15">
      <c r="A4" s="2">
        <v>200295</v>
      </c>
      <c r="B4" s="2" t="s">
        <v>726</v>
      </c>
      <c r="C4" s="2" t="s">
        <v>1910</v>
      </c>
      <c r="D4" s="2" t="s">
        <v>128</v>
      </c>
      <c r="E4" s="7" t="s">
        <v>2079</v>
      </c>
      <c r="F4" s="3" t="str">
        <f>HYPERLINK("https://stat100.ameba.jp/tnk47/ratio20/illustrations/card/ill_200295_madamubatafurai05.jpg", "■")</f>
        <v>■</v>
      </c>
      <c r="G4" s="15" t="s">
        <v>2112</v>
      </c>
      <c r="H4" s="2" t="s">
        <v>2106</v>
      </c>
      <c r="I4" s="2" t="s">
        <v>2347</v>
      </c>
      <c r="J4" s="2">
        <v>17</v>
      </c>
      <c r="K4" s="2">
        <v>76528</v>
      </c>
      <c r="L4" s="2">
        <v>55408</v>
      </c>
      <c r="M4" s="2" t="s">
        <v>2078</v>
      </c>
      <c r="N4" s="2" t="s">
        <v>1079</v>
      </c>
      <c r="O4" s="11"/>
    </row>
    <row r="5" spans="1:15">
      <c r="A5" s="2">
        <v>200223</v>
      </c>
      <c r="B5" s="2" t="s">
        <v>4</v>
      </c>
      <c r="C5" s="2" t="s">
        <v>12</v>
      </c>
      <c r="D5" s="2" t="s">
        <v>7</v>
      </c>
      <c r="E5" s="7" t="s">
        <v>2081</v>
      </c>
      <c r="F5" s="3" t="str">
        <f>HYPERLINK("https://stat100.ameba.jp/tnk47/ratio20/illustrations/card/ill_200223_suzumejigoku03.jpg", "■")</f>
        <v>■</v>
      </c>
      <c r="G5" s="2" t="s">
        <v>2105</v>
      </c>
      <c r="H5" s="2" t="s">
        <v>2103</v>
      </c>
      <c r="I5" s="2" t="s">
        <v>2104</v>
      </c>
      <c r="J5" s="2">
        <v>17</v>
      </c>
      <c r="K5" s="2">
        <v>45702</v>
      </c>
      <c r="L5" s="2">
        <v>50388</v>
      </c>
      <c r="M5" s="2" t="s">
        <v>2080</v>
      </c>
      <c r="N5" s="2" t="s">
        <v>1013</v>
      </c>
      <c r="O5" s="11"/>
    </row>
    <row r="6" spans="1:15">
      <c r="A6" s="2">
        <v>200233</v>
      </c>
      <c r="B6" s="2" t="s">
        <v>4</v>
      </c>
      <c r="C6" s="2" t="s">
        <v>8</v>
      </c>
      <c r="D6" s="2" t="s">
        <v>118</v>
      </c>
      <c r="E6" s="7" t="s">
        <v>2083</v>
      </c>
      <c r="F6" s="3" t="str">
        <f>HYPERLINK("https://stat100.ameba.jp/tnk47/ratio20/illustrations/card/ill_200233_kanibaruizumonokuni03.jpg", "■")</f>
        <v>■</v>
      </c>
      <c r="G6" s="2" t="s">
        <v>2102</v>
      </c>
      <c r="H6" s="2" t="s">
        <v>2069</v>
      </c>
      <c r="I6" s="2" t="s">
        <v>2072</v>
      </c>
      <c r="J6" s="2">
        <v>17</v>
      </c>
      <c r="K6" s="2">
        <v>50388</v>
      </c>
      <c r="L6" s="2">
        <v>45702</v>
      </c>
      <c r="M6" s="2" t="s">
        <v>2082</v>
      </c>
      <c r="N6" s="2" t="s">
        <v>1050</v>
      </c>
      <c r="O6" s="11"/>
    </row>
    <row r="7" spans="1:15">
      <c r="A7" s="2">
        <v>200253</v>
      </c>
      <c r="B7" s="2" t="s">
        <v>10</v>
      </c>
      <c r="C7" s="2" t="s">
        <v>1354</v>
      </c>
      <c r="D7" s="2" t="s">
        <v>154</v>
      </c>
      <c r="E7" s="7" t="s">
        <v>2085</v>
      </c>
      <c r="F7" s="3" t="str">
        <f>HYPERLINK("https://stat100.ameba.jp/tnk47/ratio20/illustrations/card/ill_200253_kinsei03.jpg", "■")</f>
        <v>■</v>
      </c>
      <c r="G7" s="2" t="s">
        <v>2097</v>
      </c>
      <c r="H7" s="2" t="s">
        <v>2070</v>
      </c>
      <c r="I7" s="2" t="s">
        <v>2073</v>
      </c>
      <c r="J7" s="2">
        <v>19</v>
      </c>
      <c r="K7" s="2">
        <v>39504</v>
      </c>
      <c r="L7" s="2">
        <v>32847</v>
      </c>
      <c r="M7" s="2" t="s">
        <v>2084</v>
      </c>
      <c r="N7" s="2" t="s">
        <v>2095</v>
      </c>
      <c r="O7" s="11"/>
    </row>
    <row r="8" spans="1:15">
      <c r="A8" s="2">
        <v>200243</v>
      </c>
      <c r="B8" s="2" t="s">
        <v>10</v>
      </c>
      <c r="C8" s="2" t="s">
        <v>6</v>
      </c>
      <c r="D8" s="2" t="s">
        <v>93</v>
      </c>
      <c r="E8" s="7" t="s">
        <v>2087</v>
      </c>
      <c r="F8" s="3" t="str">
        <f>HYPERLINK("https://stat100.ameba.jp/tnk47/ratio20/illustrations/card/ill_200243_owarishippo03.jpg", "■")</f>
        <v>■</v>
      </c>
      <c r="G8" s="2" t="s">
        <v>2101</v>
      </c>
      <c r="H8" s="2" t="s">
        <v>2071</v>
      </c>
      <c r="I8" s="2" t="s">
        <v>2074</v>
      </c>
      <c r="J8" s="2">
        <v>15</v>
      </c>
      <c r="K8" s="2">
        <v>25932</v>
      </c>
      <c r="L8" s="2">
        <v>31188</v>
      </c>
      <c r="M8" s="2" t="s">
        <v>2086</v>
      </c>
      <c r="N8" s="2" t="s">
        <v>335</v>
      </c>
      <c r="O8" s="11"/>
    </row>
    <row r="9" spans="1:15">
      <c r="A9" s="2">
        <v>200263</v>
      </c>
      <c r="B9" s="2" t="s">
        <v>13</v>
      </c>
      <c r="C9" s="2" t="s">
        <v>221</v>
      </c>
      <c r="D9" s="2" t="s">
        <v>53</v>
      </c>
      <c r="E9" s="7" t="s">
        <v>2089</v>
      </c>
      <c r="F9" s="3" t="str">
        <f>HYPERLINK("https://stat100.ameba.jp/tnk47/ratio20/illustrations/card/ill_200263_dadachamame03.jpg", "■")</f>
        <v>■</v>
      </c>
      <c r="G9" s="2" t="s">
        <v>2098</v>
      </c>
      <c r="H9" s="2" t="s">
        <v>122</v>
      </c>
      <c r="I9" s="2" t="s">
        <v>2099</v>
      </c>
      <c r="J9" s="2">
        <v>13</v>
      </c>
      <c r="K9" s="2">
        <v>13743</v>
      </c>
      <c r="L9" s="2">
        <v>16364</v>
      </c>
      <c r="M9" s="2" t="s">
        <v>2088</v>
      </c>
      <c r="N9" s="2" t="s">
        <v>689</v>
      </c>
      <c r="O9" s="11"/>
    </row>
    <row r="10" spans="1:15">
      <c r="A10" s="2">
        <v>200273</v>
      </c>
      <c r="B10" s="2" t="s">
        <v>13</v>
      </c>
      <c r="C10" s="2" t="s">
        <v>376</v>
      </c>
      <c r="D10" s="2" t="s">
        <v>128</v>
      </c>
      <c r="E10" s="7" t="s">
        <v>2091</v>
      </c>
      <c r="F10" s="3" t="str">
        <f>HYPERLINK("https://stat100.ameba.jp/tnk47/ratio20/illustrations/card/ill_200273_kanibarukamejuhime03.jpg", "■")</f>
        <v>■</v>
      </c>
      <c r="G10" s="2" t="s">
        <v>2100</v>
      </c>
      <c r="H10" s="2" t="s">
        <v>122</v>
      </c>
      <c r="I10" s="2" t="s">
        <v>2076</v>
      </c>
      <c r="J10" s="2">
        <v>14</v>
      </c>
      <c r="K10" s="2">
        <v>17623</v>
      </c>
      <c r="L10" s="2">
        <v>14800</v>
      </c>
      <c r="M10" s="2" t="s">
        <v>2090</v>
      </c>
      <c r="N10" s="2" t="s">
        <v>112</v>
      </c>
      <c r="O10" s="11"/>
    </row>
    <row r="11" spans="1:15">
      <c r="A11" s="2">
        <v>200283</v>
      </c>
      <c r="B11" s="2" t="s">
        <v>13</v>
      </c>
      <c r="C11" s="2" t="s">
        <v>1724</v>
      </c>
      <c r="D11" s="2" t="s">
        <v>114</v>
      </c>
      <c r="E11" s="7" t="s">
        <v>2093</v>
      </c>
      <c r="F11" s="3" t="str">
        <f>HYPERLINK("https://stat100.ameba.jp/tnk47/ratio20/illustrations/card/ill_200283_zenhanshiromatsurihatakeyamamitsunori03.jpg", "■")</f>
        <v>■</v>
      </c>
      <c r="G11" s="2" t="s">
        <v>2096</v>
      </c>
      <c r="H11" s="2" t="s">
        <v>122</v>
      </c>
      <c r="I11" s="2" t="s">
        <v>2076</v>
      </c>
      <c r="J11" s="2">
        <v>14</v>
      </c>
      <c r="K11" s="2">
        <v>14800</v>
      </c>
      <c r="L11" s="2">
        <v>17623</v>
      </c>
      <c r="M11" s="2" t="s">
        <v>2092</v>
      </c>
      <c r="N11" s="2" t="s">
        <v>418</v>
      </c>
      <c r="O11" s="11"/>
    </row>
    <row r="13" spans="1:15">
      <c r="A13" t="s">
        <v>1858</v>
      </c>
    </row>
    <row r="14" spans="1:15">
      <c r="A14" s="2">
        <v>86003</v>
      </c>
      <c r="B14" s="2" t="s">
        <v>1450</v>
      </c>
      <c r="C14" s="2" t="s">
        <v>2</v>
      </c>
      <c r="D14" s="2" t="s">
        <v>53</v>
      </c>
      <c r="E14" s="7" t="s">
        <v>1449</v>
      </c>
      <c r="F14" s="3" t="str">
        <f>HYPERLINK("https://stat100.ameba.jp/tnk47/ratio20/illustrations/card/ill_86003_ninkishuitochiotomechan03.jpg", "■")</f>
        <v>■</v>
      </c>
      <c r="G14" s="2" t="s">
        <v>1451</v>
      </c>
      <c r="H14" s="2" t="s">
        <v>1560</v>
      </c>
      <c r="J14" s="2">
        <v>20</v>
      </c>
      <c r="K14" s="2" t="s">
        <v>920</v>
      </c>
      <c r="L14" s="2" t="s">
        <v>920</v>
      </c>
      <c r="M14" s="9" t="s">
        <v>1452</v>
      </c>
      <c r="N14" s="9" t="s">
        <v>1477</v>
      </c>
    </row>
    <row r="15" spans="1:15">
      <c r="A15" s="2">
        <v>77003</v>
      </c>
      <c r="B15" s="2" t="s">
        <v>726</v>
      </c>
      <c r="C15" s="2" t="s">
        <v>92</v>
      </c>
      <c r="D15" s="2" t="s">
        <v>7</v>
      </c>
      <c r="E15" s="2" t="s">
        <v>398</v>
      </c>
      <c r="F15" s="3" t="str">
        <f>HYPERLINK("https://stat100.ameba.jp/tnk47/ratio20/illustrations/card/ill_77003_seikimatsunurarihyon03.jpg", "■")</f>
        <v>■</v>
      </c>
      <c r="G15" s="2" t="s">
        <v>452</v>
      </c>
      <c r="I15" s="2" t="str">
        <f>'1811'!I3</f>
        <v>19+15+(17+16)</v>
      </c>
      <c r="J15" s="2">
        <v>20</v>
      </c>
      <c r="K15" s="2" t="s">
        <v>920</v>
      </c>
      <c r="L15" s="2" t="s">
        <v>920</v>
      </c>
      <c r="M15" s="2" t="s">
        <v>399</v>
      </c>
      <c r="N15" s="2" t="s">
        <v>1010</v>
      </c>
      <c r="O15" s="11" t="s">
        <v>1539</v>
      </c>
    </row>
    <row r="16" spans="1:15">
      <c r="A16" s="2">
        <v>77793</v>
      </c>
      <c r="B16" s="2" t="s">
        <v>726</v>
      </c>
      <c r="C16" s="2" t="s">
        <v>92</v>
      </c>
      <c r="D16" s="2" t="s">
        <v>114</v>
      </c>
      <c r="E16" s="2" t="s">
        <v>491</v>
      </c>
      <c r="F16" s="3" t="str">
        <f>HYPERLINK("https://stat100.ameba.jp/tnk47/ratio20/illustrations/card/ill_77793_bonenkaiiinaomasa03.jpg", "■")</f>
        <v>■</v>
      </c>
      <c r="G16" s="2" t="s">
        <v>699</v>
      </c>
      <c r="I16" s="2" t="str">
        <f>'1812'!I3</f>
        <v>倉庫行き15+14</v>
      </c>
      <c r="J16" s="2">
        <v>20</v>
      </c>
      <c r="K16" s="2" t="s">
        <v>920</v>
      </c>
      <c r="L16" s="2" t="s">
        <v>920</v>
      </c>
      <c r="M16" s="2" t="s">
        <v>492</v>
      </c>
      <c r="N16" s="2" t="s">
        <v>1031</v>
      </c>
      <c r="O16" s="11" t="s">
        <v>1540</v>
      </c>
    </row>
    <row r="17" spans="1:15">
      <c r="A17" s="2">
        <v>78523</v>
      </c>
      <c r="B17" s="2" t="s">
        <v>726</v>
      </c>
      <c r="C17" s="2" t="s">
        <v>2</v>
      </c>
      <c r="D17" s="2" t="s">
        <v>154</v>
      </c>
      <c r="E17" s="7" t="s">
        <v>1259</v>
      </c>
      <c r="F17" s="3" t="str">
        <f>HYPERLINK("https://stat100.ameba.jp/tnk47/ratio20/illustrations/card/ill_78523_shichifukujinwakaukanomenomikoto03.jpg", "■")</f>
        <v>■</v>
      </c>
      <c r="G17" s="2" t="s">
        <v>548</v>
      </c>
      <c r="I17" s="2" t="str">
        <f>'1901'!I3</f>
        <v>20+16+(17+16)</v>
      </c>
      <c r="J17" s="2">
        <v>20</v>
      </c>
      <c r="K17" s="2" t="s">
        <v>920</v>
      </c>
      <c r="L17" s="2" t="s">
        <v>920</v>
      </c>
      <c r="M17" s="2" t="s">
        <v>528</v>
      </c>
      <c r="N17" s="2" t="s">
        <v>1037</v>
      </c>
      <c r="O17" s="11" t="s">
        <v>1541</v>
      </c>
    </row>
    <row r="18" spans="1:15">
      <c r="A18" s="2">
        <v>79223</v>
      </c>
      <c r="B18" s="2" t="s">
        <v>726</v>
      </c>
      <c r="C18" s="2" t="s">
        <v>92</v>
      </c>
      <c r="D18" s="2" t="s">
        <v>118</v>
      </c>
      <c r="E18" s="7" t="s">
        <v>1250</v>
      </c>
      <c r="F18" s="3" t="str">
        <f>HYPERLINK("https://stat100.ameba.jp/tnk47/ratio20/illustrations/card/ill_79223_shogikarakurigiemon03.jpg", "■")</f>
        <v>■</v>
      </c>
      <c r="G18" s="2" t="s">
        <v>588</v>
      </c>
      <c r="I18" s="2" t="str">
        <f>'1902'!I3</f>
        <v>19+16+(17+16)</v>
      </c>
      <c r="J18" s="2">
        <v>20</v>
      </c>
      <c r="K18" s="2" t="s">
        <v>920</v>
      </c>
      <c r="L18" s="2" t="s">
        <v>920</v>
      </c>
      <c r="M18" s="2" t="s">
        <v>550</v>
      </c>
      <c r="N18" s="2" t="s">
        <v>175</v>
      </c>
      <c r="O18" s="11" t="s">
        <v>1542</v>
      </c>
    </row>
    <row r="19" spans="1:15">
      <c r="A19" s="2">
        <v>79873</v>
      </c>
      <c r="B19" s="2" t="s">
        <v>726</v>
      </c>
      <c r="C19" s="2" t="s">
        <v>92</v>
      </c>
      <c r="D19" s="2" t="s">
        <v>90</v>
      </c>
      <c r="E19" s="7" t="s">
        <v>1241</v>
      </c>
      <c r="F19" s="3" t="str">
        <f>HYPERLINK("https://stat100.ameba.jp/tnk47/ratio20/illustrations/card/ill_79873_kafunshuraihoshigamisama03.jpg", "■")</f>
        <v>■</v>
      </c>
      <c r="G19" s="2" t="s">
        <v>619</v>
      </c>
      <c r="H19" s="2" t="s">
        <v>1560</v>
      </c>
      <c r="I19" s="2" t="str">
        <f>'1903'!I3</f>
        <v>15+13+(15+13)</v>
      </c>
      <c r="J19" s="2">
        <v>20</v>
      </c>
      <c r="K19" s="2" t="s">
        <v>920</v>
      </c>
      <c r="L19" s="2" t="s">
        <v>920</v>
      </c>
      <c r="M19" s="2" t="s">
        <v>596</v>
      </c>
      <c r="N19" s="2" t="s">
        <v>1042</v>
      </c>
      <c r="O19" s="11" t="s">
        <v>1543</v>
      </c>
    </row>
    <row r="20" spans="1:15">
      <c r="A20" s="2">
        <v>80473</v>
      </c>
      <c r="B20" s="2" t="s">
        <v>726</v>
      </c>
      <c r="C20" s="2" t="s">
        <v>2</v>
      </c>
      <c r="D20" s="2" t="s">
        <v>298</v>
      </c>
      <c r="E20" s="7" t="s">
        <v>1232</v>
      </c>
      <c r="F20" s="3" t="str">
        <f>HYPERLINK("https://stat100.ameba.jp/tnk47/ratio20/illustrations/card/ill_80473_banchokotetsu03.jpg", "■")</f>
        <v>■</v>
      </c>
      <c r="G20" s="2" t="s">
        <v>662</v>
      </c>
      <c r="I20" s="2" t="str">
        <f>'1904'!I3</f>
        <v>15(↑進化後20・古豪ガチャ)+13+(14+14)</v>
      </c>
      <c r="J20" s="2">
        <v>20</v>
      </c>
      <c r="K20" s="2" t="s">
        <v>920</v>
      </c>
      <c r="L20" s="2" t="s">
        <v>920</v>
      </c>
      <c r="M20" s="2" t="s">
        <v>639</v>
      </c>
      <c r="N20" s="2" t="s">
        <v>1045</v>
      </c>
      <c r="O20" s="11" t="s">
        <v>1544</v>
      </c>
    </row>
    <row r="21" spans="1:15">
      <c r="A21" s="2">
        <v>77013</v>
      </c>
      <c r="B21" s="2" t="s">
        <v>4</v>
      </c>
      <c r="C21" s="2" t="s">
        <v>98</v>
      </c>
      <c r="D21" s="2" t="s">
        <v>7</v>
      </c>
      <c r="E21" s="2" t="s">
        <v>402</v>
      </c>
      <c r="F21" s="3" t="str">
        <f>HYPERLINK("https://stat100.ameba.jp/tnk47/ratio20/illustrations/card/ill_77013_jakotsumusume03.jpg", "■")</f>
        <v>■</v>
      </c>
      <c r="G21" s="2" t="s">
        <v>481</v>
      </c>
      <c r="I21" s="2" t="s">
        <v>1453</v>
      </c>
      <c r="J21" s="2">
        <v>20</v>
      </c>
      <c r="K21" s="2" t="s">
        <v>920</v>
      </c>
      <c r="L21" s="2" t="s">
        <v>920</v>
      </c>
      <c r="M21" s="2" t="s">
        <v>403</v>
      </c>
      <c r="N21" s="2" t="s">
        <v>1013</v>
      </c>
      <c r="O21" s="11" t="s">
        <v>1545</v>
      </c>
    </row>
    <row r="22" spans="1:15">
      <c r="A22" s="2">
        <v>78533</v>
      </c>
      <c r="B22" s="2" t="s">
        <v>4</v>
      </c>
      <c r="C22" s="2" t="s">
        <v>103</v>
      </c>
      <c r="D22" s="2" t="s">
        <v>154</v>
      </c>
      <c r="E22" s="7" t="s">
        <v>1513</v>
      </c>
      <c r="F22" s="3" t="str">
        <f>HYPERLINK("https://stat100.ameba.jp/tnk47/ratio20/illustrations/card/ill_78533_arikahikonomikoto03.jpg", "■")</f>
        <v>■</v>
      </c>
      <c r="G22" s="2" t="s">
        <v>580</v>
      </c>
      <c r="I22" s="2" t="s">
        <v>1453</v>
      </c>
      <c r="J22" s="2">
        <v>20</v>
      </c>
      <c r="K22" s="2" t="s">
        <v>920</v>
      </c>
      <c r="L22" s="2" t="s">
        <v>920</v>
      </c>
      <c r="M22" s="2" t="s">
        <v>530</v>
      </c>
      <c r="N22" s="2" t="s">
        <v>1007</v>
      </c>
      <c r="O22" s="11" t="s">
        <v>1541</v>
      </c>
    </row>
    <row r="23" spans="1:15">
      <c r="A23" s="2">
        <v>79233</v>
      </c>
      <c r="B23" s="2" t="s">
        <v>4</v>
      </c>
      <c r="C23" s="2" t="s">
        <v>6</v>
      </c>
      <c r="D23" s="2" t="s">
        <v>118</v>
      </c>
      <c r="E23" s="7" t="s">
        <v>1514</v>
      </c>
      <c r="F23" s="3" t="str">
        <f>HYPERLINK("https://stat100.ameba.jp/tnk47/ratio20/illustrations/card/ill_79233_odainokata03.jpg", "■")</f>
        <v>■</v>
      </c>
      <c r="G23" s="2" t="s">
        <v>585</v>
      </c>
      <c r="I23" s="2" t="s">
        <v>1453</v>
      </c>
      <c r="J23" s="2">
        <v>20</v>
      </c>
      <c r="K23" s="2" t="s">
        <v>920</v>
      </c>
      <c r="L23" s="2" t="s">
        <v>920</v>
      </c>
      <c r="M23" s="2" t="s">
        <v>553</v>
      </c>
      <c r="N23" s="2" t="s">
        <v>1001</v>
      </c>
      <c r="O23" s="11" t="s">
        <v>1542</v>
      </c>
    </row>
    <row r="24" spans="1:15">
      <c r="A24" s="2">
        <v>73623</v>
      </c>
      <c r="B24" s="2" t="s">
        <v>4</v>
      </c>
      <c r="C24" s="2" t="s">
        <v>32</v>
      </c>
      <c r="D24" s="2" t="s">
        <v>33</v>
      </c>
      <c r="E24" s="2" t="s">
        <v>34</v>
      </c>
      <c r="F24" s="3" t="str">
        <f>HYPERLINK("https://stat100.ameba.jp/tnk47/ratio20/illustrations/card/ill_73623_shichisantoge03.jpg", "■")</f>
        <v>■</v>
      </c>
      <c r="G24" s="2" t="s">
        <v>37</v>
      </c>
      <c r="I24" s="2" t="s">
        <v>1453</v>
      </c>
      <c r="J24" s="2">
        <v>20</v>
      </c>
      <c r="K24" s="2" t="s">
        <v>920</v>
      </c>
      <c r="L24" s="2" t="s">
        <v>920</v>
      </c>
      <c r="M24" s="2" t="s">
        <v>38</v>
      </c>
      <c r="N24" s="2" t="s">
        <v>1008</v>
      </c>
      <c r="O24" s="11" t="s">
        <v>1546</v>
      </c>
    </row>
    <row r="25" spans="1:15">
      <c r="A25" s="2">
        <v>74443</v>
      </c>
      <c r="B25" s="2" t="s">
        <v>4</v>
      </c>
      <c r="C25" s="2" t="s">
        <v>8</v>
      </c>
      <c r="D25" s="2" t="s">
        <v>7</v>
      </c>
      <c r="E25" s="2" t="s">
        <v>134</v>
      </c>
      <c r="F25" s="3" t="str">
        <f>HYPERLINK("https://stat100.ameba.jp/tnk47/ratio20/illustrations/card/ill_74443_heikegani03.jpg", "■")</f>
        <v>■</v>
      </c>
      <c r="G25" s="2" t="s">
        <v>224</v>
      </c>
      <c r="H25" s="2" t="s">
        <v>2265</v>
      </c>
      <c r="I25" s="2" t="s">
        <v>1561</v>
      </c>
      <c r="J25" s="2">
        <v>20</v>
      </c>
      <c r="K25" s="2" t="s">
        <v>920</v>
      </c>
      <c r="L25" s="2" t="s">
        <v>920</v>
      </c>
      <c r="M25" s="2" t="s">
        <v>135</v>
      </c>
      <c r="N25" s="2" t="s">
        <v>1014</v>
      </c>
      <c r="O25" s="11" t="s">
        <v>1547</v>
      </c>
    </row>
    <row r="26" spans="1:15">
      <c r="A26" s="2">
        <v>80483</v>
      </c>
      <c r="B26" s="2" t="s">
        <v>4</v>
      </c>
      <c r="C26" s="2" t="s">
        <v>634</v>
      </c>
      <c r="D26" s="2" t="s">
        <v>298</v>
      </c>
      <c r="E26" s="7" t="s">
        <v>1515</v>
      </c>
      <c r="F26" s="3" t="str">
        <f>HYPERLINK("https://stat100.ameba.jp/tnk47/ratio20/illustrations/card/ill_80483_yamanouenokura.jpg", "■")</f>
        <v>■</v>
      </c>
      <c r="G26" s="2" t="s">
        <v>661</v>
      </c>
      <c r="I26" s="2" t="s">
        <v>1453</v>
      </c>
      <c r="J26" s="2">
        <v>20</v>
      </c>
      <c r="K26" s="2" t="s">
        <v>920</v>
      </c>
      <c r="L26" s="2" t="s">
        <v>920</v>
      </c>
      <c r="M26" s="2" t="s">
        <v>641</v>
      </c>
      <c r="N26" s="2" t="s">
        <v>1026</v>
      </c>
      <c r="O26" s="11" t="s">
        <v>1544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200383</v>
      </c>
      <c r="B31" s="2" t="s">
        <v>10</v>
      </c>
      <c r="C31" s="2" t="s">
        <v>98</v>
      </c>
      <c r="D31" s="2" t="s">
        <v>93</v>
      </c>
      <c r="E31" s="7" t="s">
        <v>2064</v>
      </c>
      <c r="F31" s="3" t="str">
        <f>HYPERLINK("https://stat100.ameba.jp/tnk47/ratio20/illustrations/card/ill_200383_sendaiaobamatsuri03.jpg", "■")</f>
        <v>■</v>
      </c>
      <c r="G31" s="2" t="s">
        <v>2065</v>
      </c>
      <c r="H31" s="2" t="s">
        <v>926</v>
      </c>
      <c r="I31" s="2" t="s">
        <v>2067</v>
      </c>
      <c r="J31" s="2">
        <v>14</v>
      </c>
      <c r="K31" s="2" t="s">
        <v>920</v>
      </c>
      <c r="L31" s="2" t="s">
        <v>920</v>
      </c>
      <c r="M31" s="2" t="s">
        <v>2066</v>
      </c>
      <c r="N31" s="2" t="s">
        <v>335</v>
      </c>
    </row>
  </sheetData>
  <phoneticPr fontId="1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C1CC-1462-4FA4-A88B-660DBBAA55A7}">
  <dimension ref="A1:O31"/>
  <sheetViews>
    <sheetView zoomScale="55" zoomScaleNormal="55" workbookViewId="0">
      <pane ySplit="1" topLeftCell="A2" activePane="bottomLeft" state="frozen"/>
      <selection activeCell="G4" sqref="G4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200883</v>
      </c>
      <c r="B3" s="2" t="s">
        <v>726</v>
      </c>
      <c r="C3" s="2" t="s">
        <v>92</v>
      </c>
      <c r="D3" s="2" t="s">
        <v>53</v>
      </c>
      <c r="E3" s="7" t="s">
        <v>2115</v>
      </c>
      <c r="F3" s="3" t="str">
        <f>HYPERLINK("https://stat100.ameba.jp/tnk47/ratio20/illustrations/card/ill_200883_matoharoimpateishieru03.jpg", "■")</f>
        <v>■</v>
      </c>
      <c r="G3" s="2" t="s">
        <v>2149</v>
      </c>
      <c r="H3" s="2" t="s">
        <v>2147</v>
      </c>
      <c r="I3" s="2" t="s">
        <v>876</v>
      </c>
      <c r="J3" s="2">
        <v>21</v>
      </c>
      <c r="K3" s="2">
        <v>93078</v>
      </c>
      <c r="L3" s="2">
        <v>100129</v>
      </c>
      <c r="M3" s="2" t="s">
        <v>2114</v>
      </c>
      <c r="N3" s="2" t="s">
        <v>2139</v>
      </c>
      <c r="O3" s="11"/>
    </row>
    <row r="4" spans="1:15">
      <c r="A4" s="2">
        <v>200965</v>
      </c>
      <c r="B4" s="2" t="s">
        <v>726</v>
      </c>
      <c r="C4" s="2" t="s">
        <v>1563</v>
      </c>
      <c r="D4" s="2" t="s">
        <v>53</v>
      </c>
      <c r="E4" s="7" t="s">
        <v>2117</v>
      </c>
      <c r="F4" s="3" t="str">
        <f>HYPERLINK("https://stat100.ameba.jp/tnk47/ratio20/illustrations/card/ill_200965_saroinsutekichan05.jpg", "■")</f>
        <v>■</v>
      </c>
      <c r="G4" s="2" t="s">
        <v>2148</v>
      </c>
      <c r="H4" s="2" t="s">
        <v>2146</v>
      </c>
      <c r="I4" s="2" t="s">
        <v>2386</v>
      </c>
      <c r="J4" s="2">
        <v>17</v>
      </c>
      <c r="K4" s="2">
        <v>67023</v>
      </c>
      <c r="L4" s="2">
        <v>92553</v>
      </c>
      <c r="M4" s="2" t="s">
        <v>2116</v>
      </c>
      <c r="N4" s="2" t="s">
        <v>2140</v>
      </c>
      <c r="O4" s="11"/>
    </row>
    <row r="5" spans="1:15">
      <c r="A5" s="2">
        <v>200893</v>
      </c>
      <c r="B5" s="2" t="s">
        <v>4</v>
      </c>
      <c r="C5" s="2" t="s">
        <v>6</v>
      </c>
      <c r="D5" s="2" t="s">
        <v>7</v>
      </c>
      <c r="E5" s="7" t="s">
        <v>2119</v>
      </c>
      <c r="F5" s="3" t="str">
        <f>HYPERLINK("https://stat100.ameba.jp/tnk47/ratio20/illustrations/card/ill_200893_haroinsatori03.jpg", "■")</f>
        <v>■</v>
      </c>
      <c r="G5" s="2" t="s">
        <v>2145</v>
      </c>
      <c r="H5" s="2" t="s">
        <v>2143</v>
      </c>
      <c r="I5" s="2" t="s">
        <v>2144</v>
      </c>
      <c r="J5" s="2">
        <v>17</v>
      </c>
      <c r="K5" s="2">
        <v>50388</v>
      </c>
      <c r="L5" s="2">
        <v>45702</v>
      </c>
      <c r="M5" s="2" t="s">
        <v>2118</v>
      </c>
      <c r="N5" s="2" t="s">
        <v>987</v>
      </c>
      <c r="O5" s="11"/>
    </row>
    <row r="6" spans="1:15">
      <c r="A6" s="2">
        <v>200903</v>
      </c>
      <c r="B6" s="2" t="s">
        <v>4</v>
      </c>
      <c r="C6" s="2" t="s">
        <v>8</v>
      </c>
      <c r="D6" s="2" t="s">
        <v>53</v>
      </c>
      <c r="E6" s="7" t="s">
        <v>2121</v>
      </c>
      <c r="F6" s="3" t="str">
        <f>HYPERLINK("https://stat100.ameba.jp/tnk47/ratio20/illustrations/card/ill_200903_haroinkiuifurutsuchan03.jpg", "■")</f>
        <v>■</v>
      </c>
      <c r="G6" s="2" t="s">
        <v>2138</v>
      </c>
      <c r="H6" s="2" t="s">
        <v>2069</v>
      </c>
      <c r="I6" s="2" t="s">
        <v>2072</v>
      </c>
      <c r="J6" s="2">
        <v>17</v>
      </c>
      <c r="K6" s="2">
        <v>45702</v>
      </c>
      <c r="L6" s="2">
        <v>50388</v>
      </c>
      <c r="M6" s="2" t="s">
        <v>2120</v>
      </c>
      <c r="N6" s="2" t="s">
        <v>2141</v>
      </c>
      <c r="O6" s="11"/>
    </row>
    <row r="7" spans="1:15">
      <c r="A7" s="2">
        <v>200923</v>
      </c>
      <c r="B7" s="2" t="s">
        <v>10</v>
      </c>
      <c r="C7" s="2" t="s">
        <v>98</v>
      </c>
      <c r="D7" s="2" t="s">
        <v>93</v>
      </c>
      <c r="E7" s="7" t="s">
        <v>2123</v>
      </c>
      <c r="F7" s="3" t="str">
        <f>HYPERLINK("https://stat100.ameba.jp/tnk47/ratio20/illustrations/card/ill_200923_kuronekochan03.jpg", "■")</f>
        <v>■</v>
      </c>
      <c r="G7" s="2" t="s">
        <v>2134</v>
      </c>
      <c r="H7" s="2" t="s">
        <v>2070</v>
      </c>
      <c r="I7" s="2" t="s">
        <v>2073</v>
      </c>
      <c r="J7" s="2">
        <v>19</v>
      </c>
      <c r="K7" s="2">
        <v>32847</v>
      </c>
      <c r="L7" s="2">
        <v>39504</v>
      </c>
      <c r="M7" s="2" t="s">
        <v>2122</v>
      </c>
      <c r="N7" s="2" t="s">
        <v>1476</v>
      </c>
      <c r="O7" s="11"/>
    </row>
    <row r="8" spans="1:15">
      <c r="A8" s="2">
        <v>200913</v>
      </c>
      <c r="B8" s="2" t="s">
        <v>10</v>
      </c>
      <c r="C8" s="2" t="s">
        <v>103</v>
      </c>
      <c r="D8" s="2" t="s">
        <v>93</v>
      </c>
      <c r="E8" s="7" t="s">
        <v>2125</v>
      </c>
      <c r="F8" s="3" t="str">
        <f>HYPERLINK("https://stat100.ameba.jp/tnk47/ratio20/illustrations/card/ill_200913_haroimparedo03.jpg", "■")</f>
        <v>■</v>
      </c>
      <c r="G8" s="2" t="s">
        <v>2137</v>
      </c>
      <c r="H8" s="2" t="s">
        <v>2071</v>
      </c>
      <c r="I8" s="2" t="s">
        <v>2074</v>
      </c>
      <c r="J8" s="2">
        <v>15</v>
      </c>
      <c r="K8" s="2">
        <v>31188</v>
      </c>
      <c r="L8" s="2">
        <v>25932</v>
      </c>
      <c r="M8" s="2" t="s">
        <v>2124</v>
      </c>
      <c r="N8" s="2" t="s">
        <v>185</v>
      </c>
      <c r="O8" s="11"/>
    </row>
    <row r="9" spans="1:15">
      <c r="A9" s="2">
        <v>200933</v>
      </c>
      <c r="B9" s="2" t="s">
        <v>13</v>
      </c>
      <c r="C9" s="2" t="s">
        <v>2128</v>
      </c>
      <c r="D9" s="2" t="s">
        <v>7</v>
      </c>
      <c r="E9" s="7" t="s">
        <v>2127</v>
      </c>
      <c r="F9" s="3" t="str">
        <f>HYPERLINK("https://stat100.ameba.jp/tnk47/ratio20/illustrations/card/ill_200933_tsutigumo03.jpg", "■")</f>
        <v>■</v>
      </c>
      <c r="G9" s="2" t="s">
        <v>2133</v>
      </c>
      <c r="H9" s="2" t="s">
        <v>122</v>
      </c>
      <c r="I9" s="2" t="s">
        <v>2075</v>
      </c>
      <c r="J9" s="2">
        <v>13</v>
      </c>
      <c r="K9" s="2">
        <v>16364</v>
      </c>
      <c r="L9" s="2">
        <v>13743</v>
      </c>
      <c r="M9" s="2" t="s">
        <v>2126</v>
      </c>
      <c r="N9" s="2" t="s">
        <v>120</v>
      </c>
      <c r="O9" s="11"/>
    </row>
    <row r="10" spans="1:15">
      <c r="A10" s="2">
        <v>200943</v>
      </c>
      <c r="B10" s="2" t="s">
        <v>13</v>
      </c>
      <c r="C10" s="2" t="s">
        <v>536</v>
      </c>
      <c r="D10" s="2" t="s">
        <v>154</v>
      </c>
      <c r="E10" s="7" t="s">
        <v>2130</v>
      </c>
      <c r="F10" s="3" t="str">
        <f>HYPERLINK("https://stat100.ameba.jp/tnk47/ratio20/illustrations/card/ill_200943_shinozakihachimanjinjahebinomakuraishi03.jpg", "■")</f>
        <v>■</v>
      </c>
      <c r="G10" s="2" t="s">
        <v>2135</v>
      </c>
      <c r="H10" s="2" t="s">
        <v>122</v>
      </c>
      <c r="I10" s="2" t="s">
        <v>2076</v>
      </c>
      <c r="J10" s="2">
        <v>14</v>
      </c>
      <c r="K10" s="2">
        <v>14800</v>
      </c>
      <c r="L10" s="2">
        <v>17623</v>
      </c>
      <c r="M10" s="2" t="s">
        <v>2129</v>
      </c>
      <c r="N10" s="2" t="s">
        <v>342</v>
      </c>
      <c r="O10" s="11"/>
    </row>
    <row r="11" spans="1:15">
      <c r="A11" s="2">
        <v>200953</v>
      </c>
      <c r="B11" s="2" t="s">
        <v>13</v>
      </c>
      <c r="C11" s="2" t="s">
        <v>194</v>
      </c>
      <c r="D11" s="2" t="s">
        <v>53</v>
      </c>
      <c r="E11" s="7" t="s">
        <v>2132</v>
      </c>
      <c r="F11" s="3" t="str">
        <f>HYPERLINK("https://stat100.ameba.jp/tnk47/ratio20/illustrations/card/ill_200953_amagakichan03.jpg", "■")</f>
        <v>■</v>
      </c>
      <c r="G11" s="2" t="s">
        <v>2136</v>
      </c>
      <c r="H11" s="2" t="s">
        <v>122</v>
      </c>
      <c r="I11" s="2" t="s">
        <v>2076</v>
      </c>
      <c r="J11" s="2">
        <v>14</v>
      </c>
      <c r="K11" s="2">
        <v>17623</v>
      </c>
      <c r="L11" s="2">
        <v>14800</v>
      </c>
      <c r="M11" s="2" t="s">
        <v>2131</v>
      </c>
      <c r="N11" s="2" t="s">
        <v>511</v>
      </c>
      <c r="O11" s="11"/>
    </row>
    <row r="13" spans="1:15">
      <c r="A13" t="s">
        <v>1858</v>
      </c>
    </row>
    <row r="14" spans="1:15">
      <c r="A14" s="2">
        <v>94763</v>
      </c>
      <c r="B14" s="2" t="s">
        <v>1450</v>
      </c>
      <c r="C14" s="2" t="s">
        <v>2</v>
      </c>
      <c r="D14" s="2" t="s">
        <v>118</v>
      </c>
      <c r="E14" s="7" t="s">
        <v>2150</v>
      </c>
      <c r="F14" s="3" t="str">
        <f>HYPERLINK("https://stat100.ameba.jp/tnk47/ratio20/illustrations/card/ill_94763_sosenkyotenshoinatsuhime03.jpg", "■")</f>
        <v>■</v>
      </c>
      <c r="G14" s="2" t="s">
        <v>2174</v>
      </c>
      <c r="J14" s="2">
        <v>20</v>
      </c>
      <c r="K14" s="2" t="s">
        <v>920</v>
      </c>
      <c r="L14" s="2" t="s">
        <v>920</v>
      </c>
      <c r="M14" s="2" t="s">
        <v>2164</v>
      </c>
      <c r="N14" s="2" t="s">
        <v>2209</v>
      </c>
    </row>
    <row r="15" spans="1:15">
      <c r="A15" s="2">
        <v>81033</v>
      </c>
      <c r="B15" s="2" t="s">
        <v>726</v>
      </c>
      <c r="C15" s="2" t="s">
        <v>92</v>
      </c>
      <c r="D15" s="2" t="s">
        <v>93</v>
      </c>
      <c r="E15" s="2" t="s">
        <v>2151</v>
      </c>
      <c r="F15" s="3" t="str">
        <f>HYPERLINK("https://stat100.ameba.jp/tnk47/ratio20/illustrations/card/ill_81033_sakasuibarakiyanki03.jpg", "■")</f>
        <v>■</v>
      </c>
      <c r="G15" s="2" t="s">
        <v>820</v>
      </c>
      <c r="I15" s="2" t="str">
        <f>'1905'!I3</f>
        <v>15+13+(15+14)</v>
      </c>
      <c r="J15" s="2">
        <v>20</v>
      </c>
      <c r="K15" s="2" t="s">
        <v>920</v>
      </c>
      <c r="L15" s="2" t="s">
        <v>920</v>
      </c>
      <c r="M15" s="2" t="s">
        <v>663</v>
      </c>
      <c r="N15" s="2" t="s">
        <v>1048</v>
      </c>
      <c r="O15" s="2" t="s">
        <v>2165</v>
      </c>
    </row>
    <row r="16" spans="1:15">
      <c r="A16" s="2">
        <v>81633</v>
      </c>
      <c r="B16" s="2" t="s">
        <v>726</v>
      </c>
      <c r="C16" s="2" t="s">
        <v>92</v>
      </c>
      <c r="D16" s="2" t="s">
        <v>128</v>
      </c>
      <c r="E16" s="2" t="s">
        <v>2152</v>
      </c>
      <c r="F16" s="3" t="str">
        <f>HYPERLINK("https://stat100.ameba.jp/tnk47/ratio20/illustrations/card/ill_81633_amehimenogyakushunohime03.jpg", "■")</f>
        <v>■</v>
      </c>
      <c r="G16" s="2" t="s">
        <v>855</v>
      </c>
      <c r="I16" s="2" t="str">
        <f>'1906'!I3</f>
        <v>倉庫行き</v>
      </c>
      <c r="J16" s="2">
        <v>20</v>
      </c>
      <c r="K16" s="2" t="s">
        <v>920</v>
      </c>
      <c r="L16" s="2" t="s">
        <v>920</v>
      </c>
      <c r="M16" s="2" t="s">
        <v>680</v>
      </c>
      <c r="N16" s="2" t="s">
        <v>978</v>
      </c>
      <c r="O16" s="17" t="s">
        <v>2166</v>
      </c>
    </row>
    <row r="17" spans="1:15">
      <c r="A17" s="2">
        <v>82273</v>
      </c>
      <c r="B17" s="2" t="s">
        <v>726</v>
      </c>
      <c r="C17" s="2" t="s">
        <v>2</v>
      </c>
      <c r="D17" s="2" t="s">
        <v>53</v>
      </c>
      <c r="E17" s="7" t="s">
        <v>2153</v>
      </c>
      <c r="F17" s="3" t="str">
        <f>HYPERLINK("https://stat100.ameba.jp/tnk47/ratio20/illustrations/card/ill_82273_tanabatatoyamaburakku03.jpg", "■")</f>
        <v>■</v>
      </c>
      <c r="G17" s="2" t="s">
        <v>734</v>
      </c>
      <c r="I17" s="2" t="str">
        <f>'1907'!I5</f>
        <v>19+16+(17+16)</v>
      </c>
      <c r="J17" s="2">
        <v>20</v>
      </c>
      <c r="K17" s="2" t="s">
        <v>920</v>
      </c>
      <c r="L17" s="2" t="s">
        <v>920</v>
      </c>
      <c r="M17" s="2" t="s">
        <v>707</v>
      </c>
      <c r="N17" s="2" t="s">
        <v>39</v>
      </c>
      <c r="O17" s="17" t="s">
        <v>2167</v>
      </c>
    </row>
    <row r="18" spans="1:15">
      <c r="A18" s="2">
        <v>82813</v>
      </c>
      <c r="B18" s="2" t="s">
        <v>726</v>
      </c>
      <c r="C18" s="2" t="s">
        <v>92</v>
      </c>
      <c r="D18" s="2" t="s">
        <v>7</v>
      </c>
      <c r="E18" s="7" t="s">
        <v>2154</v>
      </c>
      <c r="F18" s="3" t="str">
        <f>HYPERLINK("https://stat100.ameba.jp/tnk47/ratio20/illustrations/card/ill_82813_kyofunobyotoumizato03.jpg", "■")</f>
        <v>■</v>
      </c>
      <c r="G18" s="2" t="s">
        <v>746</v>
      </c>
      <c r="I18" s="2" t="str">
        <f>'1908'!I3</f>
        <v>倉庫行き</v>
      </c>
      <c r="J18" s="2">
        <v>20</v>
      </c>
      <c r="K18" s="2" t="s">
        <v>920</v>
      </c>
      <c r="L18" s="2" t="s">
        <v>920</v>
      </c>
      <c r="M18" s="2" t="s">
        <v>739</v>
      </c>
      <c r="N18" s="2" t="s">
        <v>740</v>
      </c>
      <c r="O18" s="17" t="s">
        <v>2172</v>
      </c>
    </row>
    <row r="19" spans="1:15">
      <c r="A19" s="2">
        <v>83403</v>
      </c>
      <c r="B19" s="2" t="s">
        <v>726</v>
      </c>
      <c r="C19" s="2" t="s">
        <v>92</v>
      </c>
      <c r="D19" s="2" t="s">
        <v>114</v>
      </c>
      <c r="E19" s="7" t="s">
        <v>2155</v>
      </c>
      <c r="F19" s="3" t="str">
        <f>HYPERLINK("https://stat100.ameba.jp/tnk47/ratio20/illustrations/card/ill_83403_yuenchihazadosoyoshitoshi03.jpg", "■")</f>
        <v>■</v>
      </c>
      <c r="G19" s="2" t="s">
        <v>793</v>
      </c>
      <c r="I19" s="2" t="str">
        <f>'1909'!I5</f>
        <v>20+18+(19+18),16</v>
      </c>
      <c r="J19" s="2">
        <v>20</v>
      </c>
      <c r="K19" s="2" t="s">
        <v>920</v>
      </c>
      <c r="L19" s="2" t="s">
        <v>920</v>
      </c>
      <c r="M19" s="2" t="s">
        <v>770</v>
      </c>
      <c r="N19" s="2" t="s">
        <v>1056</v>
      </c>
      <c r="O19" s="17" t="s">
        <v>2168</v>
      </c>
    </row>
    <row r="20" spans="1:15">
      <c r="A20" s="2">
        <v>84053</v>
      </c>
      <c r="B20" s="2" t="s">
        <v>726</v>
      </c>
      <c r="C20" s="2" t="s">
        <v>2</v>
      </c>
      <c r="D20" s="2" t="s">
        <v>154</v>
      </c>
      <c r="E20" s="7" t="s">
        <v>2156</v>
      </c>
      <c r="F20" s="3" t="str">
        <f>HYPERLINK("https://stat100.ameba.jp/tnk47/ratio20/illustrations/card/ill_84053_yokaitaisenjamegami03.jpg", "■")</f>
        <v>■</v>
      </c>
      <c r="G20" s="2" t="s">
        <v>801</v>
      </c>
      <c r="I20" s="2" t="str">
        <f>'1910'!I3</f>
        <v>倉庫行き</v>
      </c>
      <c r="J20" s="2">
        <v>20</v>
      </c>
      <c r="K20" s="2" t="s">
        <v>920</v>
      </c>
      <c r="L20" s="2" t="s">
        <v>920</v>
      </c>
      <c r="M20" s="2" t="s">
        <v>800</v>
      </c>
      <c r="N20" s="2" t="s">
        <v>1061</v>
      </c>
      <c r="O20" s="17" t="s">
        <v>2173</v>
      </c>
    </row>
    <row r="21" spans="1:15">
      <c r="A21" s="2">
        <v>81043</v>
      </c>
      <c r="B21" s="2" t="s">
        <v>4</v>
      </c>
      <c r="C21" s="2" t="s">
        <v>98</v>
      </c>
      <c r="D21" s="2" t="s">
        <v>93</v>
      </c>
      <c r="E21" s="2" t="s">
        <v>2157</v>
      </c>
      <c r="F21" s="3" t="str">
        <f>HYPERLINK("https://stat100.ameba.jp/tnk47/ratio20/illustrations/card/ill_81043_tsukinowaguma03.jpg", "■")</f>
        <v>■</v>
      </c>
      <c r="G21" s="2" t="s">
        <v>721</v>
      </c>
      <c r="I21" s="2" t="s">
        <v>2171</v>
      </c>
      <c r="J21" s="2">
        <v>20</v>
      </c>
      <c r="K21" s="2" t="s">
        <v>920</v>
      </c>
      <c r="L21" s="2" t="s">
        <v>920</v>
      </c>
      <c r="M21" s="2" t="s">
        <v>665</v>
      </c>
      <c r="N21" s="2" t="s">
        <v>976</v>
      </c>
      <c r="O21" s="2" t="s">
        <v>2165</v>
      </c>
    </row>
    <row r="22" spans="1:15">
      <c r="A22" s="2">
        <v>81643</v>
      </c>
      <c r="B22" s="2" t="s">
        <v>4</v>
      </c>
      <c r="C22" s="2" t="s">
        <v>103</v>
      </c>
      <c r="D22" s="2" t="s">
        <v>128</v>
      </c>
      <c r="E22" s="7" t="s">
        <v>2158</v>
      </c>
      <c r="F22" s="3" t="str">
        <f>HYPERLINK("https://stat100.ameba.jp/tnk47/ratio20/illustrations/card/ill_81643_orurinokata03.jpg", "■")</f>
        <v>■</v>
      </c>
      <c r="G22" s="2" t="s">
        <v>853</v>
      </c>
      <c r="I22" s="2" t="s">
        <v>2171</v>
      </c>
      <c r="J22" s="2">
        <v>20</v>
      </c>
      <c r="K22" s="2" t="s">
        <v>920</v>
      </c>
      <c r="L22" s="2" t="s">
        <v>920</v>
      </c>
      <c r="M22" s="2" t="s">
        <v>683</v>
      </c>
      <c r="N22" s="2" t="s">
        <v>981</v>
      </c>
      <c r="O22" s="17" t="s">
        <v>2166</v>
      </c>
    </row>
    <row r="23" spans="1:15">
      <c r="A23" s="2">
        <v>73613</v>
      </c>
      <c r="B23" s="2" t="s">
        <v>4</v>
      </c>
      <c r="C23" s="2" t="s">
        <v>6</v>
      </c>
      <c r="D23" s="2" t="s">
        <v>154</v>
      </c>
      <c r="E23" s="7" t="s">
        <v>160</v>
      </c>
      <c r="F23" s="3" t="str">
        <f>HYPERLINK("https://stat100.ameba.jp/tnk47/ratio20/illustrations/card/ill_73613_futamatatonneru03.jpg", "■")</f>
        <v>■</v>
      </c>
      <c r="G23" s="2" t="s">
        <v>521</v>
      </c>
      <c r="H23" s="2" t="s">
        <v>2265</v>
      </c>
      <c r="I23" s="2" t="s">
        <v>2264</v>
      </c>
      <c r="J23" s="2">
        <v>20</v>
      </c>
      <c r="K23" s="2" t="s">
        <v>920</v>
      </c>
      <c r="L23" s="2" t="s">
        <v>920</v>
      </c>
      <c r="M23" s="2" t="s">
        <v>159</v>
      </c>
      <c r="N23" s="2" t="s">
        <v>1007</v>
      </c>
      <c r="O23" s="17" t="s">
        <v>2167</v>
      </c>
    </row>
    <row r="24" spans="1:15">
      <c r="A24" s="2">
        <v>83413</v>
      </c>
      <c r="B24" s="2" t="s">
        <v>4</v>
      </c>
      <c r="C24" s="2" t="s">
        <v>32</v>
      </c>
      <c r="D24" s="2" t="s">
        <v>114</v>
      </c>
      <c r="E24" s="2" t="s">
        <v>2159</v>
      </c>
      <c r="F24" s="3" t="str">
        <f>HYPERLINK("https://stat100.ameba.jp/tnk47/ratio20/illustrations/card/ill_83413_viranzutoyotomihideyori03.jpg", "■")</f>
        <v>■</v>
      </c>
      <c r="G24" s="2" t="s">
        <v>791</v>
      </c>
      <c r="I24" s="2" t="s">
        <v>2171</v>
      </c>
      <c r="J24" s="2">
        <v>20</v>
      </c>
      <c r="K24" s="2" t="s">
        <v>920</v>
      </c>
      <c r="L24" s="2" t="s">
        <v>920</v>
      </c>
      <c r="M24" s="2" t="s">
        <v>774</v>
      </c>
      <c r="N24" s="2" t="s">
        <v>1058</v>
      </c>
      <c r="O24" s="17" t="s">
        <v>2168</v>
      </c>
    </row>
    <row r="25" spans="1:15">
      <c r="A25" s="2">
        <v>82283</v>
      </c>
      <c r="B25" s="2" t="s">
        <v>4</v>
      </c>
      <c r="C25" s="2" t="s">
        <v>8</v>
      </c>
      <c r="D25" s="2" t="s">
        <v>53</v>
      </c>
      <c r="E25" s="2" t="s">
        <v>2160</v>
      </c>
      <c r="F25" s="3" t="str">
        <f>HYPERLINK("https://stat100.ameba.jp/tnk47/ratio20/illustrations/card/ill_82283_uranaishioribuchan03.jpg", "■")</f>
        <v>■</v>
      </c>
      <c r="G25" s="2" t="s">
        <v>731</v>
      </c>
      <c r="I25" s="2" t="s">
        <v>2171</v>
      </c>
      <c r="J25" s="2">
        <v>20</v>
      </c>
      <c r="K25" s="2" t="s">
        <v>920</v>
      </c>
      <c r="L25" s="2" t="s">
        <v>920</v>
      </c>
      <c r="M25" s="2" t="s">
        <v>709</v>
      </c>
      <c r="N25" s="2" t="s">
        <v>991</v>
      </c>
      <c r="O25" s="17" t="s">
        <v>2169</v>
      </c>
    </row>
    <row r="26" spans="1:15">
      <c r="A26" s="2">
        <v>79883</v>
      </c>
      <c r="B26" s="2" t="s">
        <v>4</v>
      </c>
      <c r="C26" s="2" t="s">
        <v>634</v>
      </c>
      <c r="D26" s="2" t="s">
        <v>90</v>
      </c>
      <c r="E26" s="7" t="s">
        <v>2161</v>
      </c>
      <c r="F26" s="3" t="str">
        <f>HYPERLINK("https://stat100.ameba.jp/tnk47/ratio20/illustrations/card/ill_79883_kowakamai03.jpg", "■")</f>
        <v>■</v>
      </c>
      <c r="G26" s="2" t="s">
        <v>617</v>
      </c>
      <c r="I26" s="2" t="s">
        <v>2171</v>
      </c>
      <c r="J26" s="2">
        <v>20</v>
      </c>
      <c r="K26" s="2" t="s">
        <v>920</v>
      </c>
      <c r="L26" s="2" t="s">
        <v>920</v>
      </c>
      <c r="M26" s="2" t="s">
        <v>597</v>
      </c>
      <c r="N26" s="2" t="s">
        <v>1019</v>
      </c>
      <c r="O26" s="17" t="s">
        <v>2170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201053</v>
      </c>
      <c r="B31" s="2" t="s">
        <v>10</v>
      </c>
      <c r="C31" s="2" t="s">
        <v>6</v>
      </c>
      <c r="D31" s="2" t="s">
        <v>7</v>
      </c>
      <c r="E31" s="7" t="s">
        <v>2142</v>
      </c>
      <c r="F31" s="3" t="str">
        <f>HYPERLINK("https://stat100.ameba.jp/tnk47/ratio20/illustrations/card/ill_201053_jakkuorantan03.jpg", "■")</f>
        <v>■</v>
      </c>
      <c r="G31" s="2" t="s">
        <v>2162</v>
      </c>
      <c r="I31" s="2" t="s">
        <v>1625</v>
      </c>
      <c r="J31" s="2">
        <v>14</v>
      </c>
      <c r="K31" s="2" t="s">
        <v>920</v>
      </c>
      <c r="L31" s="2" t="s">
        <v>920</v>
      </c>
      <c r="M31" s="2" t="s">
        <v>2163</v>
      </c>
      <c r="N31" s="2" t="s">
        <v>11</v>
      </c>
    </row>
  </sheetData>
  <phoneticPr fontId="1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A3E06-C831-4608-8B80-FA7C0F1B5CBA}">
  <dimension ref="A1:O31"/>
  <sheetViews>
    <sheetView tabSelected="1"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201513</v>
      </c>
      <c r="B3" s="2" t="s">
        <v>726</v>
      </c>
      <c r="C3" s="2" t="s">
        <v>92</v>
      </c>
      <c r="D3" s="2" t="s">
        <v>7</v>
      </c>
      <c r="E3" s="7" t="s">
        <v>2183</v>
      </c>
      <c r="F3" s="3" t="str">
        <f>HYPERLINK("https://stat100.ameba.jp/tnk47/ratio20/illustrations/card/ill_201513_mafuiawaraionna03.jpg", "■")</f>
        <v>■</v>
      </c>
      <c r="G3" s="2" t="s">
        <v>2259</v>
      </c>
      <c r="H3" s="2" t="s">
        <v>2258</v>
      </c>
      <c r="I3" s="2" t="s">
        <v>876</v>
      </c>
      <c r="J3" s="2">
        <v>21</v>
      </c>
      <c r="K3" s="2">
        <v>130641</v>
      </c>
      <c r="L3" s="2">
        <v>121465</v>
      </c>
      <c r="M3" s="2" t="s">
        <v>2182</v>
      </c>
      <c r="N3" s="2" t="s">
        <v>2210</v>
      </c>
      <c r="O3" s="11"/>
    </row>
    <row r="4" spans="1:15">
      <c r="A4" s="2">
        <v>201595</v>
      </c>
      <c r="B4" s="2" t="s">
        <v>726</v>
      </c>
      <c r="C4" s="2" t="s">
        <v>1949</v>
      </c>
      <c r="D4" s="2" t="s">
        <v>90</v>
      </c>
      <c r="E4" s="7" t="s">
        <v>2185</v>
      </c>
      <c r="F4" s="3" t="str">
        <f>HYPERLINK("https://stat100.ameba.jp/tnk47/ratio20/illustrations/card/ill_201595_kimononohikaguya05.jpg", "■")</f>
        <v>■</v>
      </c>
      <c r="G4" s="2" t="s">
        <v>2208</v>
      </c>
      <c r="H4" s="2" t="s">
        <v>2146</v>
      </c>
      <c r="I4" s="2" t="s">
        <v>2390</v>
      </c>
      <c r="J4" s="2">
        <v>17</v>
      </c>
      <c r="K4" s="2">
        <v>89363</v>
      </c>
      <c r="L4" s="2">
        <v>64700</v>
      </c>
      <c r="M4" s="2" t="s">
        <v>2184</v>
      </c>
      <c r="N4" s="2" t="s">
        <v>2211</v>
      </c>
      <c r="O4" s="11"/>
    </row>
    <row r="5" spans="1:15">
      <c r="A5" s="2">
        <v>201523</v>
      </c>
      <c r="B5" s="2" t="s">
        <v>4</v>
      </c>
      <c r="C5" s="2" t="s">
        <v>98</v>
      </c>
      <c r="D5" s="2" t="s">
        <v>151</v>
      </c>
      <c r="E5" s="7" t="s">
        <v>2187</v>
      </c>
      <c r="F5" s="3" t="str">
        <f>HYPERLINK("https://stat100.ameba.jp/tnk47/ratio20/illustrations/card/ill_201523_chiseihashikuratsunenaga03.jpg", "■")</f>
        <v>■</v>
      </c>
      <c r="G5" s="2" t="s">
        <v>2262</v>
      </c>
      <c r="H5" s="2" t="s">
        <v>2257</v>
      </c>
      <c r="I5" s="2" t="s">
        <v>2263</v>
      </c>
      <c r="J5" s="2">
        <v>17</v>
      </c>
      <c r="K5" s="2">
        <v>45702</v>
      </c>
      <c r="L5" s="2">
        <v>50388</v>
      </c>
      <c r="M5" s="2" t="s">
        <v>2186</v>
      </c>
      <c r="N5" s="2" t="s">
        <v>1074</v>
      </c>
      <c r="O5" s="11"/>
    </row>
    <row r="6" spans="1:15">
      <c r="A6" s="2">
        <v>201533</v>
      </c>
      <c r="B6" s="2" t="s">
        <v>4</v>
      </c>
      <c r="C6" s="2" t="s">
        <v>6</v>
      </c>
      <c r="D6" s="2" t="s">
        <v>93</v>
      </c>
      <c r="E6" s="7" t="s">
        <v>2189</v>
      </c>
      <c r="F6" s="3" t="str">
        <f>HYPERLINK("https://stat100.ameba.jp/tnk47/ratio20/illustrations/card/ill_201533_bodeikonchan03.jpg", "■")</f>
        <v>■</v>
      </c>
      <c r="G6" s="2" t="s">
        <v>2261</v>
      </c>
      <c r="H6" s="2" t="s">
        <v>2069</v>
      </c>
      <c r="I6" s="2" t="s">
        <v>2072</v>
      </c>
      <c r="J6" s="2">
        <v>17</v>
      </c>
      <c r="K6" s="2">
        <v>50388</v>
      </c>
      <c r="L6" s="2">
        <v>45702</v>
      </c>
      <c r="M6" s="2" t="s">
        <v>2188</v>
      </c>
      <c r="N6" s="2" t="s">
        <v>1367</v>
      </c>
      <c r="O6" s="11" t="s">
        <v>2389</v>
      </c>
    </row>
    <row r="7" spans="1:15">
      <c r="A7" s="2">
        <v>201553</v>
      </c>
      <c r="B7" s="2" t="s">
        <v>10</v>
      </c>
      <c r="C7" s="2" t="s">
        <v>8</v>
      </c>
      <c r="D7" s="2" t="s">
        <v>114</v>
      </c>
      <c r="E7" s="7" t="s">
        <v>2191</v>
      </c>
      <c r="F7" s="3" t="str">
        <f>HYPERLINK("https://stat100.ameba.jp/tnk47/ratio20/illustrations/card/ill_201553_mimuratsuru03.jpg", "■")</f>
        <v>■</v>
      </c>
      <c r="G7" s="2" t="s">
        <v>2201</v>
      </c>
      <c r="H7" s="2" t="s">
        <v>2070</v>
      </c>
      <c r="I7" s="2" t="s">
        <v>2073</v>
      </c>
      <c r="J7" s="2">
        <v>19</v>
      </c>
      <c r="K7" s="2">
        <v>39504</v>
      </c>
      <c r="L7" s="2">
        <v>32847</v>
      </c>
      <c r="M7" s="2" t="s">
        <v>2190</v>
      </c>
      <c r="N7" s="2" t="s">
        <v>1445</v>
      </c>
      <c r="O7" s="11"/>
    </row>
    <row r="8" spans="1:15">
      <c r="A8" s="2">
        <v>201543</v>
      </c>
      <c r="B8" s="2" t="s">
        <v>10</v>
      </c>
      <c r="C8" s="2" t="s">
        <v>103</v>
      </c>
      <c r="D8" s="2" t="s">
        <v>90</v>
      </c>
      <c r="E8" s="7" t="s">
        <v>2193</v>
      </c>
      <c r="F8" s="3" t="str">
        <f>HYPERLINK("https://stat100.ameba.jp/tnk47/ratio20/illustrations/card/ill_201543_jukibegoma03.jpg", "■")</f>
        <v>■</v>
      </c>
      <c r="G8" s="2" t="s">
        <v>2260</v>
      </c>
      <c r="H8" s="2" t="s">
        <v>2071</v>
      </c>
      <c r="I8" s="2" t="s">
        <v>2074</v>
      </c>
      <c r="J8" s="2">
        <v>15</v>
      </c>
      <c r="K8" s="2">
        <v>25932</v>
      </c>
      <c r="L8" s="2">
        <v>31188</v>
      </c>
      <c r="M8" s="2" t="s">
        <v>2192</v>
      </c>
      <c r="N8" s="2" t="s">
        <v>865</v>
      </c>
      <c r="O8" s="11"/>
    </row>
    <row r="9" spans="1:15">
      <c r="A9" s="2">
        <v>201563</v>
      </c>
      <c r="B9" s="2" t="s">
        <v>13</v>
      </c>
      <c r="C9" s="2" t="s">
        <v>308</v>
      </c>
      <c r="D9" s="2" t="s">
        <v>128</v>
      </c>
      <c r="E9" s="7" t="s">
        <v>2195</v>
      </c>
      <c r="F9" s="3" t="str">
        <f>HYPERLINK("https://stat100.ameba.jp/tnk47/ratio20/illustrations/card/ill_201563_torawarehimedakkinohyaku03.jpg", "■")</f>
        <v>■</v>
      </c>
      <c r="G9" s="2" t="s">
        <v>2202</v>
      </c>
      <c r="H9" s="2" t="s">
        <v>122</v>
      </c>
      <c r="I9" s="2" t="s">
        <v>2099</v>
      </c>
      <c r="J9" s="2">
        <v>13</v>
      </c>
      <c r="K9" s="2">
        <v>13743</v>
      </c>
      <c r="L9" s="2">
        <v>16364</v>
      </c>
      <c r="M9" s="2" t="s">
        <v>2194</v>
      </c>
      <c r="N9" s="2" t="s">
        <v>108</v>
      </c>
      <c r="O9" s="11"/>
    </row>
    <row r="10" spans="1:15">
      <c r="A10" s="2">
        <v>201573</v>
      </c>
      <c r="B10" s="2" t="s">
        <v>13</v>
      </c>
      <c r="C10" s="2" t="s">
        <v>373</v>
      </c>
      <c r="D10" s="2" t="s">
        <v>7</v>
      </c>
      <c r="E10" s="7" t="s">
        <v>2197</v>
      </c>
      <c r="F10" s="3" t="str">
        <f>HYPERLINK("https://stat100.ameba.jp/tnk47/ratio20/illustrations/card/ill_201573_kijimuna03.jpg", "■")</f>
        <v>■</v>
      </c>
      <c r="G10" s="2" t="s">
        <v>2203</v>
      </c>
      <c r="H10" s="2" t="s">
        <v>122</v>
      </c>
      <c r="I10" s="2" t="s">
        <v>2076</v>
      </c>
      <c r="J10" s="2">
        <v>14</v>
      </c>
      <c r="K10" s="2">
        <v>17623</v>
      </c>
      <c r="L10" s="2">
        <v>14800</v>
      </c>
      <c r="M10" s="2" t="s">
        <v>2196</v>
      </c>
      <c r="N10" s="2" t="s">
        <v>120</v>
      </c>
      <c r="O10" s="11"/>
    </row>
    <row r="11" spans="1:15">
      <c r="A11" s="2">
        <v>201583</v>
      </c>
      <c r="B11" s="2" t="s">
        <v>13</v>
      </c>
      <c r="C11" s="2" t="s">
        <v>509</v>
      </c>
      <c r="D11" s="2" t="s">
        <v>151</v>
      </c>
      <c r="E11" s="7" t="s">
        <v>2200</v>
      </c>
      <c r="F11" s="3" t="str">
        <f>HYPERLINK("https://stat100.ameba.jp/tnk47/ratio20/illustrations/card/ill_201583_miyazawakenji03.jpg", "■")</f>
        <v>■</v>
      </c>
      <c r="G11" s="2" t="s">
        <v>2204</v>
      </c>
      <c r="H11" s="2" t="s">
        <v>122</v>
      </c>
      <c r="I11" s="2" t="s">
        <v>2076</v>
      </c>
      <c r="J11" s="2">
        <v>14</v>
      </c>
      <c r="K11" s="2">
        <v>14800</v>
      </c>
      <c r="L11" s="2">
        <v>17623</v>
      </c>
      <c r="M11" s="2" t="s">
        <v>2199</v>
      </c>
      <c r="N11" s="2" t="s">
        <v>2198</v>
      </c>
      <c r="O11" s="11"/>
    </row>
    <row r="13" spans="1:15">
      <c r="A13" t="s">
        <v>1858</v>
      </c>
    </row>
    <row r="14" spans="1:15">
      <c r="A14" s="2">
        <v>94763</v>
      </c>
      <c r="B14" s="2" t="s">
        <v>1450</v>
      </c>
      <c r="C14" s="2" t="s">
        <v>2</v>
      </c>
      <c r="D14" s="2" t="s">
        <v>118</v>
      </c>
      <c r="E14" s="7" t="s">
        <v>2150</v>
      </c>
      <c r="F14" s="3" t="str">
        <f>HYPERLINK("https://stat100.ameba.jp/tnk47/ratio20/illustrations/card/ill_94763_sosenkyotenshoinatsuhime03.jpg", "■")</f>
        <v>■</v>
      </c>
      <c r="G14" s="2" t="s">
        <v>2174</v>
      </c>
      <c r="J14" s="2">
        <v>20</v>
      </c>
      <c r="K14" s="2" t="s">
        <v>920</v>
      </c>
      <c r="L14" s="2" t="s">
        <v>920</v>
      </c>
      <c r="M14" s="2" t="s">
        <v>2164</v>
      </c>
      <c r="N14" s="2" t="s">
        <v>2209</v>
      </c>
    </row>
    <row r="15" spans="1:15">
      <c r="A15" s="2">
        <v>81033</v>
      </c>
      <c r="B15" s="2" t="s">
        <v>726</v>
      </c>
      <c r="C15" s="2" t="s">
        <v>92</v>
      </c>
      <c r="D15" s="2" t="s">
        <v>93</v>
      </c>
      <c r="E15" s="2" t="s">
        <v>2151</v>
      </c>
      <c r="F15" s="3" t="str">
        <f>HYPERLINK("https://stat100.ameba.jp/tnk47/ratio20/illustrations/card/ill_81033_sakasuibarakiyanki03.jpg", "■")</f>
        <v>■</v>
      </c>
      <c r="G15" s="2" t="s">
        <v>820</v>
      </c>
      <c r="H15" s="2" t="s">
        <v>2265</v>
      </c>
      <c r="I15" s="2" t="str">
        <f>'1905'!I3</f>
        <v>15+13+(15+14)</v>
      </c>
      <c r="J15" s="2">
        <v>20</v>
      </c>
      <c r="K15" s="2" t="s">
        <v>920</v>
      </c>
      <c r="L15" s="2" t="s">
        <v>920</v>
      </c>
      <c r="M15" s="2" t="s">
        <v>663</v>
      </c>
      <c r="N15" s="2" t="s">
        <v>1048</v>
      </c>
      <c r="O15" s="2" t="s">
        <v>2165</v>
      </c>
    </row>
    <row r="16" spans="1:15">
      <c r="A16" s="2">
        <v>81633</v>
      </c>
      <c r="B16" s="2" t="s">
        <v>726</v>
      </c>
      <c r="C16" s="2" t="s">
        <v>92</v>
      </c>
      <c r="D16" s="2" t="s">
        <v>128</v>
      </c>
      <c r="E16" s="2" t="s">
        <v>2152</v>
      </c>
      <c r="F16" s="3" t="str">
        <f>HYPERLINK("https://stat100.ameba.jp/tnk47/ratio20/illustrations/card/ill_81633_amehimenogyakushunohime03.jpg", "■")</f>
        <v>■</v>
      </c>
      <c r="G16" s="2" t="s">
        <v>855</v>
      </c>
      <c r="I16" s="2" t="str">
        <f>'1906'!I3</f>
        <v>倉庫行き</v>
      </c>
      <c r="J16" s="2">
        <v>20</v>
      </c>
      <c r="K16" s="2" t="s">
        <v>920</v>
      </c>
      <c r="L16" s="2" t="s">
        <v>920</v>
      </c>
      <c r="M16" s="2" t="s">
        <v>680</v>
      </c>
      <c r="N16" s="2" t="s">
        <v>978</v>
      </c>
      <c r="O16" s="17" t="s">
        <v>2166</v>
      </c>
    </row>
    <row r="17" spans="1:15">
      <c r="A17" s="2">
        <v>82273</v>
      </c>
      <c r="B17" s="2" t="s">
        <v>726</v>
      </c>
      <c r="C17" s="2" t="s">
        <v>2</v>
      </c>
      <c r="D17" s="2" t="s">
        <v>53</v>
      </c>
      <c r="E17" s="7" t="s">
        <v>2153</v>
      </c>
      <c r="F17" s="3" t="str">
        <f>HYPERLINK("https://stat100.ameba.jp/tnk47/ratio20/illustrations/card/ill_82273_tanabatatoyamaburakku03.jpg", "■")</f>
        <v>■</v>
      </c>
      <c r="G17" s="2" t="s">
        <v>734</v>
      </c>
      <c r="I17" s="2" t="str">
        <f>'1907'!I5</f>
        <v>19+16+(17+16)</v>
      </c>
      <c r="J17" s="2">
        <v>20</v>
      </c>
      <c r="K17" s="2" t="s">
        <v>920</v>
      </c>
      <c r="L17" s="2" t="s">
        <v>920</v>
      </c>
      <c r="M17" s="2" t="s">
        <v>707</v>
      </c>
      <c r="N17" s="2" t="s">
        <v>39</v>
      </c>
      <c r="O17" s="17" t="s">
        <v>2167</v>
      </c>
    </row>
    <row r="18" spans="1:15">
      <c r="A18" s="2">
        <v>82813</v>
      </c>
      <c r="B18" s="2" t="s">
        <v>726</v>
      </c>
      <c r="C18" s="2" t="s">
        <v>92</v>
      </c>
      <c r="D18" s="2" t="s">
        <v>7</v>
      </c>
      <c r="E18" s="7" t="s">
        <v>2154</v>
      </c>
      <c r="F18" s="3" t="str">
        <f>HYPERLINK("https://stat100.ameba.jp/tnk47/ratio20/illustrations/card/ill_82813_kyofunobyotoumizato03.jpg", "■")</f>
        <v>■</v>
      </c>
      <c r="G18" s="2" t="s">
        <v>746</v>
      </c>
      <c r="I18" s="2" t="str">
        <f>'1908'!I3</f>
        <v>倉庫行き</v>
      </c>
      <c r="J18" s="2">
        <v>20</v>
      </c>
      <c r="K18" s="2" t="s">
        <v>920</v>
      </c>
      <c r="L18" s="2" t="s">
        <v>920</v>
      </c>
      <c r="M18" s="2" t="s">
        <v>739</v>
      </c>
      <c r="N18" s="2" t="s">
        <v>740</v>
      </c>
      <c r="O18" s="17" t="s">
        <v>2172</v>
      </c>
    </row>
    <row r="19" spans="1:15">
      <c r="A19" s="2">
        <v>83403</v>
      </c>
      <c r="B19" s="2" t="s">
        <v>726</v>
      </c>
      <c r="C19" s="2" t="s">
        <v>92</v>
      </c>
      <c r="D19" s="2" t="s">
        <v>114</v>
      </c>
      <c r="E19" s="7" t="s">
        <v>2155</v>
      </c>
      <c r="F19" s="3" t="str">
        <f>HYPERLINK("https://stat100.ameba.jp/tnk47/ratio20/illustrations/card/ill_83403_yuenchihazadosoyoshitoshi03.jpg", "■")</f>
        <v>■</v>
      </c>
      <c r="G19" s="2" t="s">
        <v>793</v>
      </c>
      <c r="I19" s="2" t="str">
        <f>'1909'!I5</f>
        <v>20+18+(19+18),16</v>
      </c>
      <c r="J19" s="2">
        <v>20</v>
      </c>
      <c r="K19" s="2" t="s">
        <v>920</v>
      </c>
      <c r="L19" s="2" t="s">
        <v>920</v>
      </c>
      <c r="M19" s="2" t="s">
        <v>770</v>
      </c>
      <c r="N19" s="2" t="s">
        <v>1056</v>
      </c>
      <c r="O19" s="17" t="s">
        <v>2168</v>
      </c>
    </row>
    <row r="20" spans="1:15">
      <c r="A20" s="2">
        <v>84053</v>
      </c>
      <c r="B20" s="2" t="s">
        <v>726</v>
      </c>
      <c r="C20" s="2" t="s">
        <v>2</v>
      </c>
      <c r="D20" s="2" t="s">
        <v>154</v>
      </c>
      <c r="E20" s="7" t="s">
        <v>2156</v>
      </c>
      <c r="F20" s="3" t="str">
        <f>HYPERLINK("https://stat100.ameba.jp/tnk47/ratio20/illustrations/card/ill_84053_yokaitaisenjamegami03.jpg", "■")</f>
        <v>■</v>
      </c>
      <c r="G20" s="2" t="s">
        <v>801</v>
      </c>
      <c r="I20" s="2" t="str">
        <f>'1910'!I3</f>
        <v>倉庫行き</v>
      </c>
      <c r="J20" s="2">
        <v>20</v>
      </c>
      <c r="K20" s="2" t="s">
        <v>920</v>
      </c>
      <c r="L20" s="2" t="s">
        <v>920</v>
      </c>
      <c r="M20" s="2" t="s">
        <v>800</v>
      </c>
      <c r="N20" s="2" t="s">
        <v>1061</v>
      </c>
      <c r="O20" s="17" t="s">
        <v>2173</v>
      </c>
    </row>
    <row r="21" spans="1:15">
      <c r="A21" s="2">
        <v>81043</v>
      </c>
      <c r="B21" s="2" t="s">
        <v>4</v>
      </c>
      <c r="C21" s="2" t="s">
        <v>98</v>
      </c>
      <c r="D21" s="2" t="s">
        <v>93</v>
      </c>
      <c r="E21" s="2" t="s">
        <v>2157</v>
      </c>
      <c r="F21" s="3" t="str">
        <f>HYPERLINK("https://stat100.ameba.jp/tnk47/ratio20/illustrations/card/ill_81043_tsukinowaguma03.jpg", "■")</f>
        <v>■</v>
      </c>
      <c r="G21" s="2" t="s">
        <v>721</v>
      </c>
      <c r="I21" s="2" t="s">
        <v>2171</v>
      </c>
      <c r="J21" s="2">
        <v>20</v>
      </c>
      <c r="K21" s="2" t="s">
        <v>920</v>
      </c>
      <c r="L21" s="2" t="s">
        <v>920</v>
      </c>
      <c r="M21" s="2" t="s">
        <v>665</v>
      </c>
      <c r="N21" s="2" t="s">
        <v>976</v>
      </c>
      <c r="O21" s="2" t="s">
        <v>2165</v>
      </c>
    </row>
    <row r="22" spans="1:15">
      <c r="A22" s="2">
        <v>81643</v>
      </c>
      <c r="B22" s="2" t="s">
        <v>4</v>
      </c>
      <c r="C22" s="2" t="s">
        <v>103</v>
      </c>
      <c r="D22" s="2" t="s">
        <v>128</v>
      </c>
      <c r="E22" s="7" t="s">
        <v>2158</v>
      </c>
      <c r="F22" s="3" t="str">
        <f>HYPERLINK("https://stat100.ameba.jp/tnk47/ratio20/illustrations/card/ill_81643_orurinokata03.jpg", "■")</f>
        <v>■</v>
      </c>
      <c r="G22" s="2" t="s">
        <v>853</v>
      </c>
      <c r="I22" s="2" t="s">
        <v>2171</v>
      </c>
      <c r="J22" s="2">
        <v>20</v>
      </c>
      <c r="K22" s="2" t="s">
        <v>920</v>
      </c>
      <c r="L22" s="2" t="s">
        <v>920</v>
      </c>
      <c r="M22" s="2" t="s">
        <v>683</v>
      </c>
      <c r="N22" s="2" t="s">
        <v>981</v>
      </c>
      <c r="O22" s="17" t="s">
        <v>2166</v>
      </c>
    </row>
    <row r="23" spans="1:15">
      <c r="A23" s="2">
        <v>73613</v>
      </c>
      <c r="B23" s="2" t="s">
        <v>4</v>
      </c>
      <c r="C23" s="2" t="s">
        <v>6</v>
      </c>
      <c r="D23" s="2" t="s">
        <v>154</v>
      </c>
      <c r="E23" s="7" t="s">
        <v>160</v>
      </c>
      <c r="F23" s="3" t="str">
        <f>HYPERLINK("https://stat100.ameba.jp/tnk47/ratio20/illustrations/card/ill_73613_futamatatonneru03.jpg", "■")</f>
        <v>■</v>
      </c>
      <c r="G23" s="2" t="s">
        <v>521</v>
      </c>
      <c r="I23" s="2" t="s">
        <v>2171</v>
      </c>
      <c r="J23" s="2">
        <v>20</v>
      </c>
      <c r="K23" s="2" t="s">
        <v>920</v>
      </c>
      <c r="L23" s="2" t="s">
        <v>920</v>
      </c>
      <c r="M23" s="2" t="s">
        <v>159</v>
      </c>
      <c r="N23" s="2" t="s">
        <v>1007</v>
      </c>
      <c r="O23" s="17" t="s">
        <v>2167</v>
      </c>
    </row>
    <row r="24" spans="1:15">
      <c r="A24" s="2">
        <v>83413</v>
      </c>
      <c r="B24" s="2" t="s">
        <v>4</v>
      </c>
      <c r="C24" s="2" t="s">
        <v>32</v>
      </c>
      <c r="D24" s="2" t="s">
        <v>114</v>
      </c>
      <c r="E24" s="2" t="s">
        <v>2159</v>
      </c>
      <c r="F24" s="3" t="str">
        <f>HYPERLINK("https://stat100.ameba.jp/tnk47/ratio20/illustrations/card/ill_83413_viranzutoyotomihideyori03.jpg", "■")</f>
        <v>■</v>
      </c>
      <c r="G24" s="2" t="s">
        <v>791</v>
      </c>
      <c r="I24" s="2" t="s">
        <v>2171</v>
      </c>
      <c r="J24" s="2">
        <v>20</v>
      </c>
      <c r="K24" s="2" t="s">
        <v>920</v>
      </c>
      <c r="L24" s="2" t="s">
        <v>920</v>
      </c>
      <c r="M24" s="2" t="s">
        <v>774</v>
      </c>
      <c r="N24" s="2" t="s">
        <v>1058</v>
      </c>
      <c r="O24" s="17" t="s">
        <v>2168</v>
      </c>
    </row>
    <row r="25" spans="1:15">
      <c r="A25" s="2">
        <v>82283</v>
      </c>
      <c r="B25" s="2" t="s">
        <v>4</v>
      </c>
      <c r="C25" s="2" t="s">
        <v>8</v>
      </c>
      <c r="D25" s="2" t="s">
        <v>53</v>
      </c>
      <c r="E25" s="2" t="s">
        <v>2160</v>
      </c>
      <c r="F25" s="3" t="str">
        <f>HYPERLINK("https://stat100.ameba.jp/tnk47/ratio20/illustrations/card/ill_82283_uranaishioribuchan03.jpg", "■")</f>
        <v>■</v>
      </c>
      <c r="G25" s="2" t="s">
        <v>731</v>
      </c>
      <c r="I25" s="2" t="s">
        <v>2171</v>
      </c>
      <c r="J25" s="2">
        <v>20</v>
      </c>
      <c r="K25" s="2" t="s">
        <v>920</v>
      </c>
      <c r="L25" s="2" t="s">
        <v>920</v>
      </c>
      <c r="M25" s="2" t="s">
        <v>709</v>
      </c>
      <c r="N25" s="2" t="s">
        <v>991</v>
      </c>
      <c r="O25" s="17" t="s">
        <v>2169</v>
      </c>
    </row>
    <row r="26" spans="1:15">
      <c r="A26" s="2">
        <v>79883</v>
      </c>
      <c r="B26" s="2" t="s">
        <v>4</v>
      </c>
      <c r="C26" s="2" t="s">
        <v>634</v>
      </c>
      <c r="D26" s="2" t="s">
        <v>90</v>
      </c>
      <c r="E26" s="7" t="s">
        <v>2161</v>
      </c>
      <c r="F26" s="3" t="str">
        <f>HYPERLINK("https://stat100.ameba.jp/tnk47/ratio20/illustrations/card/ill_79883_kowakamai03.jpg", "■")</f>
        <v>■</v>
      </c>
      <c r="G26" s="2" t="s">
        <v>617</v>
      </c>
      <c r="I26" s="2" t="s">
        <v>2171</v>
      </c>
      <c r="J26" s="2">
        <v>20</v>
      </c>
      <c r="K26" s="2" t="s">
        <v>920</v>
      </c>
      <c r="L26" s="2" t="s">
        <v>920</v>
      </c>
      <c r="M26" s="2" t="s">
        <v>597</v>
      </c>
      <c r="N26" s="2" t="s">
        <v>1019</v>
      </c>
      <c r="O26" s="17" t="s">
        <v>2170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201683</v>
      </c>
      <c r="B31" s="2" t="s">
        <v>10</v>
      </c>
      <c r="C31" s="2" t="s">
        <v>103</v>
      </c>
      <c r="D31" s="2" t="s">
        <v>93</v>
      </c>
      <c r="E31" s="8" t="s">
        <v>2206</v>
      </c>
      <c r="F31" s="3" t="str">
        <f>HYPERLINK("https://stat100.ameba.jp/tnk47/ratio20/illustrations/card/ill_201683_hozukiichi03.jpg", "■")</f>
        <v>■</v>
      </c>
      <c r="G31" s="2" t="s">
        <v>2207</v>
      </c>
      <c r="H31" s="2" t="s">
        <v>926</v>
      </c>
      <c r="I31" s="2" t="s">
        <v>927</v>
      </c>
      <c r="J31" s="2">
        <v>14</v>
      </c>
      <c r="K31" s="2" t="s">
        <v>920</v>
      </c>
      <c r="L31" s="2" t="s">
        <v>920</v>
      </c>
      <c r="M31" s="9" t="s">
        <v>2205</v>
      </c>
      <c r="N31" s="9" t="s">
        <v>335</v>
      </c>
    </row>
  </sheetData>
  <phoneticPr fontId="1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883B-1A1F-4A54-8C98-A85F87257E63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202153</v>
      </c>
      <c r="B3" s="2" t="s">
        <v>726</v>
      </c>
      <c r="C3" s="2" t="s">
        <v>92</v>
      </c>
      <c r="D3" s="2" t="s">
        <v>114</v>
      </c>
      <c r="E3" s="7" t="s">
        <v>2235</v>
      </c>
      <c r="F3" s="3" t="str">
        <f>HYPERLINK("https://stat100.ameba.jp/tnk47/ratio20/illustrations/card/ill_202153_bikinikurisumasuhojomasako03.jpg", "■")</f>
        <v>■</v>
      </c>
      <c r="G3" s="2" t="s">
        <v>2253</v>
      </c>
      <c r="H3" s="2" t="s">
        <v>2252</v>
      </c>
      <c r="I3" s="2" t="s">
        <v>876</v>
      </c>
      <c r="J3" s="2">
        <v>21</v>
      </c>
      <c r="K3" s="2">
        <v>89644</v>
      </c>
      <c r="L3" s="2">
        <v>83337</v>
      </c>
      <c r="M3" s="2" t="s">
        <v>2234</v>
      </c>
      <c r="N3" s="2" t="s">
        <v>2237</v>
      </c>
      <c r="O3" s="11"/>
    </row>
    <row r="4" spans="1:15">
      <c r="A4" s="2">
        <v>202235</v>
      </c>
      <c r="B4" s="2" t="s">
        <v>726</v>
      </c>
      <c r="C4" s="2" t="s">
        <v>1949</v>
      </c>
      <c r="D4" s="2" t="s">
        <v>151</v>
      </c>
      <c r="E4" s="7" t="s">
        <v>2233</v>
      </c>
      <c r="F4" s="3" t="str">
        <f>HYPERLINK("https://stat100.ameba.jp/tnk47/ratio20/illustrations/card/ill_202235_nijiironomajutsushitencha05.jpg", "■")</f>
        <v>■</v>
      </c>
      <c r="G4" s="2" t="s">
        <v>2236</v>
      </c>
      <c r="H4" s="2" t="s">
        <v>2250</v>
      </c>
      <c r="I4" s="2" t="s">
        <v>2251</v>
      </c>
      <c r="J4" s="2">
        <v>17</v>
      </c>
      <c r="K4" s="2">
        <v>57536</v>
      </c>
      <c r="L4" s="2">
        <v>79463</v>
      </c>
      <c r="M4" s="2" t="s">
        <v>2232</v>
      </c>
      <c r="N4" s="2" t="s">
        <v>2238</v>
      </c>
      <c r="O4" s="11"/>
    </row>
    <row r="5" spans="1:15">
      <c r="A5" s="2">
        <v>202163</v>
      </c>
      <c r="B5" s="2" t="s">
        <v>4</v>
      </c>
      <c r="C5" s="2" t="s">
        <v>12</v>
      </c>
      <c r="D5" s="2" t="s">
        <v>154</v>
      </c>
      <c r="E5" s="7" t="s">
        <v>2231</v>
      </c>
      <c r="F5" s="3" t="str">
        <f>HYPERLINK("https://stat100.ameba.jp/tnk47/ratio20/illustrations/card/ill_202163_amoronagu03.jpg", "■")</f>
        <v>■</v>
      </c>
      <c r="G5" s="2" t="s">
        <v>2248</v>
      </c>
      <c r="H5" s="2" t="s">
        <v>2247</v>
      </c>
      <c r="I5" s="2" t="s">
        <v>2249</v>
      </c>
      <c r="J5" s="2">
        <v>17</v>
      </c>
      <c r="K5" s="2">
        <v>45702</v>
      </c>
      <c r="L5" s="2">
        <v>50388</v>
      </c>
      <c r="M5" s="2" t="s">
        <v>2230</v>
      </c>
      <c r="N5" s="2" t="s">
        <v>2239</v>
      </c>
      <c r="O5" s="11"/>
    </row>
    <row r="6" spans="1:15">
      <c r="A6" s="2">
        <v>202173</v>
      </c>
      <c r="B6" s="2" t="s">
        <v>4</v>
      </c>
      <c r="C6" s="2" t="s">
        <v>98</v>
      </c>
      <c r="D6" s="2" t="s">
        <v>151</v>
      </c>
      <c r="E6" s="7" t="s">
        <v>2229</v>
      </c>
      <c r="F6" s="3" t="str">
        <f>HYPERLINK("https://stat100.ameba.jp/tnk47/ratio20/illustrations/card/ill_202173_kurisumasukishi03.jpg", "■")</f>
        <v>■</v>
      </c>
      <c r="G6" s="2" t="s">
        <v>2246</v>
      </c>
      <c r="H6" s="2" t="s">
        <v>2069</v>
      </c>
      <c r="I6" s="2" t="s">
        <v>2072</v>
      </c>
      <c r="J6" s="2">
        <v>17</v>
      </c>
      <c r="K6" s="2">
        <v>50388</v>
      </c>
      <c r="L6" s="2">
        <v>45702</v>
      </c>
      <c r="M6" s="2" t="s">
        <v>2228</v>
      </c>
      <c r="N6" s="2" t="s">
        <v>1075</v>
      </c>
      <c r="O6" s="11" t="s">
        <v>2388</v>
      </c>
    </row>
    <row r="7" spans="1:15">
      <c r="A7" s="2">
        <v>202193</v>
      </c>
      <c r="B7" s="2" t="s">
        <v>10</v>
      </c>
      <c r="C7" s="2" t="s">
        <v>8</v>
      </c>
      <c r="D7" s="2" t="s">
        <v>114</v>
      </c>
      <c r="E7" s="7" t="s">
        <v>2227</v>
      </c>
      <c r="F7" s="3" t="str">
        <f>HYPERLINK("https://stat100.ameba.jp/tnk47/ratio20/illustrations/card/ill_202193_takasugishinsaku03.jpg", "■")</f>
        <v>■</v>
      </c>
      <c r="G7" s="2" t="s">
        <v>2241</v>
      </c>
      <c r="H7" s="2" t="s">
        <v>2070</v>
      </c>
      <c r="I7" s="2" t="s">
        <v>2073</v>
      </c>
      <c r="J7" s="2">
        <v>19</v>
      </c>
      <c r="K7" s="2">
        <v>39504</v>
      </c>
      <c r="L7" s="2">
        <v>32847</v>
      </c>
      <c r="M7" s="2" t="s">
        <v>2226</v>
      </c>
      <c r="N7" s="2" t="s">
        <v>2240</v>
      </c>
      <c r="O7" s="11"/>
    </row>
    <row r="8" spans="1:15">
      <c r="A8" s="2">
        <v>202183</v>
      </c>
      <c r="B8" s="2" t="s">
        <v>10</v>
      </c>
      <c r="C8" s="2" t="s">
        <v>6</v>
      </c>
      <c r="D8" s="2" t="s">
        <v>93</v>
      </c>
      <c r="E8" s="7" t="s">
        <v>2225</v>
      </c>
      <c r="F8" s="3" t="str">
        <f>HYPERLINK("https://stat100.ameba.jp/tnk47/ratio20/illustrations/card/ill_202183_narusawahyouketsu03.jpg", "■")</f>
        <v>■</v>
      </c>
      <c r="G8" s="2" t="s">
        <v>2245</v>
      </c>
      <c r="H8" s="2" t="s">
        <v>2071</v>
      </c>
      <c r="I8" s="2" t="s">
        <v>2074</v>
      </c>
      <c r="J8" s="2">
        <v>15</v>
      </c>
      <c r="K8" s="2">
        <v>25932</v>
      </c>
      <c r="L8" s="2">
        <v>31188</v>
      </c>
      <c r="M8" s="2" t="s">
        <v>2224</v>
      </c>
      <c r="N8" s="2" t="s">
        <v>335</v>
      </c>
      <c r="O8" s="11"/>
    </row>
    <row r="9" spans="1:15">
      <c r="A9" s="2">
        <v>202203</v>
      </c>
      <c r="B9" s="2" t="s">
        <v>13</v>
      </c>
      <c r="C9" s="2" t="s">
        <v>1354</v>
      </c>
      <c r="D9" s="2" t="s">
        <v>93</v>
      </c>
      <c r="E9" s="7" t="s">
        <v>2223</v>
      </c>
      <c r="F9" s="3" t="str">
        <f>HYPERLINK("https://stat100.ameba.jp/tnk47/ratio20/illustrations/card/ill_202203_tonakai03.jpg", "■")</f>
        <v>■</v>
      </c>
      <c r="G9" s="2" t="s">
        <v>2244</v>
      </c>
      <c r="H9" s="2" t="s">
        <v>122</v>
      </c>
      <c r="I9" s="2" t="s">
        <v>2099</v>
      </c>
      <c r="J9" s="2">
        <v>13</v>
      </c>
      <c r="K9" s="2">
        <v>13743</v>
      </c>
      <c r="L9" s="2">
        <v>16364</v>
      </c>
      <c r="M9" s="2" t="s">
        <v>2222</v>
      </c>
      <c r="N9" s="2" t="s">
        <v>14</v>
      </c>
      <c r="O9" s="11"/>
    </row>
    <row r="10" spans="1:15">
      <c r="A10" s="2">
        <v>202213</v>
      </c>
      <c r="B10" s="2" t="s">
        <v>13</v>
      </c>
      <c r="C10" s="2" t="s">
        <v>306</v>
      </c>
      <c r="D10" s="2" t="s">
        <v>93</v>
      </c>
      <c r="E10" s="7" t="s">
        <v>2221</v>
      </c>
      <c r="F10" s="3" t="str">
        <f>HYPERLINK("https://stat100.ameba.jp/tnk47/ratio20/illustrations/card/ill_202213_osakanobachan03.jpg", "■")</f>
        <v>■</v>
      </c>
      <c r="G10" s="2" t="s">
        <v>2243</v>
      </c>
      <c r="H10" s="2" t="s">
        <v>122</v>
      </c>
      <c r="I10" s="2" t="s">
        <v>2076</v>
      </c>
      <c r="J10" s="2">
        <v>14</v>
      </c>
      <c r="K10" s="2">
        <v>17623</v>
      </c>
      <c r="L10" s="2">
        <v>14800</v>
      </c>
      <c r="M10" s="2" t="s">
        <v>2220</v>
      </c>
      <c r="N10" s="2" t="s">
        <v>63</v>
      </c>
      <c r="O10" s="11"/>
    </row>
    <row r="11" spans="1:15">
      <c r="A11" s="2">
        <v>202223</v>
      </c>
      <c r="B11" s="2" t="s">
        <v>13</v>
      </c>
      <c r="C11" s="2" t="s">
        <v>1606</v>
      </c>
      <c r="D11" s="2" t="s">
        <v>118</v>
      </c>
      <c r="E11" s="7" t="s">
        <v>2219</v>
      </c>
      <c r="F11" s="3" t="str">
        <f>HYPERLINK("https://stat100.ameba.jp/tnk47/ratio20/illustrations/card/ill_202223_teneiin03.jpg", "■")</f>
        <v>■</v>
      </c>
      <c r="G11" s="2" t="s">
        <v>2242</v>
      </c>
      <c r="H11" s="2" t="s">
        <v>122</v>
      </c>
      <c r="I11" s="2" t="s">
        <v>2076</v>
      </c>
      <c r="J11" s="2">
        <v>14</v>
      </c>
      <c r="K11" s="2">
        <v>14800</v>
      </c>
      <c r="L11" s="2">
        <v>17623</v>
      </c>
      <c r="M11" s="2" t="s">
        <v>2218</v>
      </c>
      <c r="N11" s="2" t="s">
        <v>674</v>
      </c>
      <c r="O11" s="11"/>
    </row>
    <row r="13" spans="1:15">
      <c r="A13" t="s">
        <v>1858</v>
      </c>
    </row>
    <row r="14" spans="1:15">
      <c r="A14" s="2">
        <v>94763</v>
      </c>
      <c r="B14" s="2" t="s">
        <v>1450</v>
      </c>
      <c r="C14" s="2" t="s">
        <v>2</v>
      </c>
      <c r="D14" s="2" t="s">
        <v>118</v>
      </c>
      <c r="E14" s="7" t="s">
        <v>2150</v>
      </c>
      <c r="F14" s="3" t="str">
        <f>HYPERLINK("https://stat100.ameba.jp/tnk47/ratio20/illustrations/card/ill_94763_sosenkyotenshoinatsuhime03.jpg", "■")</f>
        <v>■</v>
      </c>
      <c r="G14" s="2" t="s">
        <v>2174</v>
      </c>
      <c r="J14" s="2">
        <v>20</v>
      </c>
      <c r="K14" s="2" t="s">
        <v>920</v>
      </c>
      <c r="L14" s="2" t="s">
        <v>920</v>
      </c>
      <c r="M14" s="2" t="s">
        <v>2164</v>
      </c>
      <c r="N14" s="2" t="s">
        <v>2209</v>
      </c>
    </row>
    <row r="15" spans="1:15">
      <c r="A15" s="2">
        <v>81033</v>
      </c>
      <c r="B15" s="2" t="s">
        <v>726</v>
      </c>
      <c r="C15" s="2" t="s">
        <v>92</v>
      </c>
      <c r="D15" s="2" t="s">
        <v>93</v>
      </c>
      <c r="E15" s="2" t="s">
        <v>2151</v>
      </c>
      <c r="F15" s="3" t="str">
        <f>HYPERLINK("https://stat100.ameba.jp/tnk47/ratio20/illustrations/card/ill_81033_sakasuibarakiyanki03.jpg", "■")</f>
        <v>■</v>
      </c>
      <c r="G15" s="2" t="s">
        <v>820</v>
      </c>
      <c r="H15" s="2" t="s">
        <v>1560</v>
      </c>
      <c r="I15" s="2" t="str">
        <f>'1905'!I3</f>
        <v>15+13+(15+14)</v>
      </c>
      <c r="J15" s="2">
        <v>20</v>
      </c>
      <c r="K15" s="2" t="s">
        <v>920</v>
      </c>
      <c r="L15" s="2" t="s">
        <v>920</v>
      </c>
      <c r="M15" s="2" t="s">
        <v>663</v>
      </c>
      <c r="N15" s="2" t="s">
        <v>1048</v>
      </c>
      <c r="O15" s="2" t="s">
        <v>2165</v>
      </c>
    </row>
    <row r="16" spans="1:15">
      <c r="A16" s="2">
        <v>81633</v>
      </c>
      <c r="B16" s="2" t="s">
        <v>726</v>
      </c>
      <c r="C16" s="2" t="s">
        <v>92</v>
      </c>
      <c r="D16" s="2" t="s">
        <v>128</v>
      </c>
      <c r="E16" s="2" t="s">
        <v>2152</v>
      </c>
      <c r="F16" s="3" t="str">
        <f>HYPERLINK("https://stat100.ameba.jp/tnk47/ratio20/illustrations/card/ill_81633_amehimenogyakushunohime03.jpg", "■")</f>
        <v>■</v>
      </c>
      <c r="G16" s="2" t="s">
        <v>855</v>
      </c>
      <c r="I16" s="2" t="str">
        <f>'1906'!I3</f>
        <v>倉庫行き</v>
      </c>
      <c r="J16" s="2">
        <v>20</v>
      </c>
      <c r="K16" s="2" t="s">
        <v>920</v>
      </c>
      <c r="L16" s="2" t="s">
        <v>920</v>
      </c>
      <c r="M16" s="2" t="s">
        <v>680</v>
      </c>
      <c r="N16" s="2" t="s">
        <v>978</v>
      </c>
      <c r="O16" s="17" t="s">
        <v>2166</v>
      </c>
    </row>
    <row r="17" spans="1:15">
      <c r="A17" s="2">
        <v>82273</v>
      </c>
      <c r="B17" s="2" t="s">
        <v>726</v>
      </c>
      <c r="C17" s="2" t="s">
        <v>2</v>
      </c>
      <c r="D17" s="2" t="s">
        <v>53</v>
      </c>
      <c r="E17" s="7" t="s">
        <v>2153</v>
      </c>
      <c r="F17" s="3" t="str">
        <f>HYPERLINK("https://stat100.ameba.jp/tnk47/ratio20/illustrations/card/ill_82273_tanabatatoyamaburakku03.jpg", "■")</f>
        <v>■</v>
      </c>
      <c r="G17" s="2" t="s">
        <v>734</v>
      </c>
      <c r="I17" s="2" t="str">
        <f>'1907'!I5</f>
        <v>19+16+(17+16)</v>
      </c>
      <c r="J17" s="2">
        <v>20</v>
      </c>
      <c r="K17" s="2" t="s">
        <v>920</v>
      </c>
      <c r="L17" s="2" t="s">
        <v>920</v>
      </c>
      <c r="M17" s="2" t="s">
        <v>707</v>
      </c>
      <c r="N17" s="2" t="s">
        <v>39</v>
      </c>
      <c r="O17" s="17" t="s">
        <v>2167</v>
      </c>
    </row>
    <row r="18" spans="1:15">
      <c r="A18" s="2">
        <v>82813</v>
      </c>
      <c r="B18" s="2" t="s">
        <v>726</v>
      </c>
      <c r="C18" s="2" t="s">
        <v>92</v>
      </c>
      <c r="D18" s="2" t="s">
        <v>7</v>
      </c>
      <c r="E18" s="7" t="s">
        <v>2154</v>
      </c>
      <c r="F18" s="3" t="str">
        <f>HYPERLINK("https://stat100.ameba.jp/tnk47/ratio20/illustrations/card/ill_82813_kyofunobyotoumizato03.jpg", "■")</f>
        <v>■</v>
      </c>
      <c r="G18" s="2" t="s">
        <v>746</v>
      </c>
      <c r="I18" s="2" t="str">
        <f>'1908'!I3</f>
        <v>倉庫行き</v>
      </c>
      <c r="J18" s="2">
        <v>20</v>
      </c>
      <c r="K18" s="2" t="s">
        <v>920</v>
      </c>
      <c r="L18" s="2" t="s">
        <v>920</v>
      </c>
      <c r="M18" s="2" t="s">
        <v>739</v>
      </c>
      <c r="N18" s="2" t="s">
        <v>740</v>
      </c>
      <c r="O18" s="17" t="s">
        <v>2172</v>
      </c>
    </row>
    <row r="19" spans="1:15">
      <c r="A19" s="2">
        <v>83403</v>
      </c>
      <c r="B19" s="2" t="s">
        <v>726</v>
      </c>
      <c r="C19" s="2" t="s">
        <v>92</v>
      </c>
      <c r="D19" s="2" t="s">
        <v>114</v>
      </c>
      <c r="E19" s="7" t="s">
        <v>2155</v>
      </c>
      <c r="F19" s="3" t="str">
        <f>HYPERLINK("https://stat100.ameba.jp/tnk47/ratio20/illustrations/card/ill_83403_yuenchihazadosoyoshitoshi03.jpg", "■")</f>
        <v>■</v>
      </c>
      <c r="G19" s="2" t="s">
        <v>793</v>
      </c>
      <c r="I19" s="2" t="str">
        <f>'1909'!I5</f>
        <v>20+18+(19+18),16</v>
      </c>
      <c r="J19" s="2">
        <v>20</v>
      </c>
      <c r="K19" s="2" t="s">
        <v>920</v>
      </c>
      <c r="L19" s="2" t="s">
        <v>920</v>
      </c>
      <c r="M19" s="2" t="s">
        <v>770</v>
      </c>
      <c r="N19" s="2" t="s">
        <v>1056</v>
      </c>
      <c r="O19" s="17" t="s">
        <v>2168</v>
      </c>
    </row>
    <row r="20" spans="1:15">
      <c r="A20" s="2">
        <v>84053</v>
      </c>
      <c r="B20" s="2" t="s">
        <v>726</v>
      </c>
      <c r="C20" s="2" t="s">
        <v>2</v>
      </c>
      <c r="D20" s="2" t="s">
        <v>154</v>
      </c>
      <c r="E20" s="7" t="s">
        <v>2156</v>
      </c>
      <c r="F20" s="3" t="str">
        <f>HYPERLINK("https://stat100.ameba.jp/tnk47/ratio20/illustrations/card/ill_84053_yokaitaisenjamegami03.jpg", "■")</f>
        <v>■</v>
      </c>
      <c r="G20" s="2" t="s">
        <v>801</v>
      </c>
      <c r="I20" s="2" t="str">
        <f>'1910'!I3</f>
        <v>倉庫行き</v>
      </c>
      <c r="J20" s="2">
        <v>20</v>
      </c>
      <c r="K20" s="2" t="s">
        <v>920</v>
      </c>
      <c r="L20" s="2" t="s">
        <v>920</v>
      </c>
      <c r="M20" s="2" t="s">
        <v>800</v>
      </c>
      <c r="N20" s="2" t="s">
        <v>1061</v>
      </c>
      <c r="O20" s="17" t="s">
        <v>2173</v>
      </c>
    </row>
    <row r="21" spans="1:15">
      <c r="A21" s="2">
        <v>81043</v>
      </c>
      <c r="B21" s="2" t="s">
        <v>4</v>
      </c>
      <c r="C21" s="2" t="s">
        <v>98</v>
      </c>
      <c r="D21" s="2" t="s">
        <v>93</v>
      </c>
      <c r="E21" s="2" t="s">
        <v>2157</v>
      </c>
      <c r="F21" s="3" t="str">
        <f>HYPERLINK("https://stat100.ameba.jp/tnk47/ratio20/illustrations/card/ill_81043_tsukinowaguma03.jpg", "■")</f>
        <v>■</v>
      </c>
      <c r="G21" s="2" t="s">
        <v>721</v>
      </c>
      <c r="I21" s="2" t="s">
        <v>2171</v>
      </c>
      <c r="J21" s="2">
        <v>20</v>
      </c>
      <c r="K21" s="2" t="s">
        <v>920</v>
      </c>
      <c r="L21" s="2" t="s">
        <v>920</v>
      </c>
      <c r="M21" s="2" t="s">
        <v>665</v>
      </c>
      <c r="N21" s="2" t="s">
        <v>976</v>
      </c>
      <c r="O21" s="2" t="s">
        <v>2165</v>
      </c>
    </row>
    <row r="22" spans="1:15">
      <c r="A22" s="2">
        <v>81643</v>
      </c>
      <c r="B22" s="2" t="s">
        <v>4</v>
      </c>
      <c r="C22" s="2" t="s">
        <v>103</v>
      </c>
      <c r="D22" s="2" t="s">
        <v>128</v>
      </c>
      <c r="E22" s="7" t="s">
        <v>2158</v>
      </c>
      <c r="F22" s="3" t="str">
        <f>HYPERLINK("https://stat100.ameba.jp/tnk47/ratio20/illustrations/card/ill_81643_orurinokata03.jpg", "■")</f>
        <v>■</v>
      </c>
      <c r="G22" s="2" t="s">
        <v>853</v>
      </c>
      <c r="I22" s="2" t="s">
        <v>2171</v>
      </c>
      <c r="J22" s="2">
        <v>20</v>
      </c>
      <c r="K22" s="2" t="s">
        <v>920</v>
      </c>
      <c r="L22" s="2" t="s">
        <v>920</v>
      </c>
      <c r="M22" s="2" t="s">
        <v>683</v>
      </c>
      <c r="N22" s="2" t="s">
        <v>981</v>
      </c>
      <c r="O22" s="17" t="s">
        <v>2166</v>
      </c>
    </row>
    <row r="23" spans="1:15">
      <c r="A23" s="2">
        <v>73613</v>
      </c>
      <c r="B23" s="2" t="s">
        <v>4</v>
      </c>
      <c r="C23" s="2" t="s">
        <v>6</v>
      </c>
      <c r="D23" s="2" t="s">
        <v>154</v>
      </c>
      <c r="E23" s="7" t="s">
        <v>160</v>
      </c>
      <c r="F23" s="3" t="str">
        <f>HYPERLINK("https://stat100.ameba.jp/tnk47/ratio20/illustrations/card/ill_73613_futamatatonneru03.jpg", "■")</f>
        <v>■</v>
      </c>
      <c r="G23" s="2" t="s">
        <v>521</v>
      </c>
      <c r="I23" s="2" t="s">
        <v>2171</v>
      </c>
      <c r="J23" s="2">
        <v>20</v>
      </c>
      <c r="K23" s="2" t="s">
        <v>920</v>
      </c>
      <c r="L23" s="2" t="s">
        <v>920</v>
      </c>
      <c r="M23" s="2" t="s">
        <v>159</v>
      </c>
      <c r="N23" s="2" t="s">
        <v>1007</v>
      </c>
      <c r="O23" s="17" t="s">
        <v>2167</v>
      </c>
    </row>
    <row r="24" spans="1:15">
      <c r="A24" s="2">
        <v>83413</v>
      </c>
      <c r="B24" s="2" t="s">
        <v>4</v>
      </c>
      <c r="C24" s="2" t="s">
        <v>32</v>
      </c>
      <c r="D24" s="2" t="s">
        <v>114</v>
      </c>
      <c r="E24" s="2" t="s">
        <v>2159</v>
      </c>
      <c r="F24" s="3" t="str">
        <f>HYPERLINK("https://stat100.ameba.jp/tnk47/ratio20/illustrations/card/ill_83413_viranzutoyotomihideyori03.jpg", "■")</f>
        <v>■</v>
      </c>
      <c r="G24" s="2" t="s">
        <v>791</v>
      </c>
      <c r="I24" s="2" t="s">
        <v>2171</v>
      </c>
      <c r="J24" s="2">
        <v>20</v>
      </c>
      <c r="K24" s="2" t="s">
        <v>920</v>
      </c>
      <c r="L24" s="2" t="s">
        <v>920</v>
      </c>
      <c r="M24" s="2" t="s">
        <v>774</v>
      </c>
      <c r="N24" s="2" t="s">
        <v>1058</v>
      </c>
      <c r="O24" s="17" t="s">
        <v>2168</v>
      </c>
    </row>
    <row r="25" spans="1:15">
      <c r="A25" s="2">
        <v>82283</v>
      </c>
      <c r="B25" s="2" t="s">
        <v>4</v>
      </c>
      <c r="C25" s="2" t="s">
        <v>8</v>
      </c>
      <c r="D25" s="2" t="s">
        <v>53</v>
      </c>
      <c r="E25" s="2" t="s">
        <v>2160</v>
      </c>
      <c r="F25" s="3" t="str">
        <f>HYPERLINK("https://stat100.ameba.jp/tnk47/ratio20/illustrations/card/ill_82283_uranaishioribuchan03.jpg", "■")</f>
        <v>■</v>
      </c>
      <c r="G25" s="2" t="s">
        <v>731</v>
      </c>
      <c r="I25" s="2" t="s">
        <v>2171</v>
      </c>
      <c r="J25" s="2">
        <v>20</v>
      </c>
      <c r="K25" s="2" t="s">
        <v>920</v>
      </c>
      <c r="L25" s="2" t="s">
        <v>920</v>
      </c>
      <c r="M25" s="2" t="s">
        <v>709</v>
      </c>
      <c r="N25" s="2" t="s">
        <v>991</v>
      </c>
      <c r="O25" s="17" t="s">
        <v>2169</v>
      </c>
    </row>
    <row r="26" spans="1:15">
      <c r="A26" s="2">
        <v>79883</v>
      </c>
      <c r="B26" s="2" t="s">
        <v>4</v>
      </c>
      <c r="C26" s="2" t="s">
        <v>634</v>
      </c>
      <c r="D26" s="2" t="s">
        <v>90</v>
      </c>
      <c r="E26" s="7" t="s">
        <v>2161</v>
      </c>
      <c r="F26" s="3" t="str">
        <f>HYPERLINK("https://stat100.ameba.jp/tnk47/ratio20/illustrations/card/ill_79883_kowakamai03.jpg", "■")</f>
        <v>■</v>
      </c>
      <c r="G26" s="2" t="s">
        <v>617</v>
      </c>
      <c r="H26" s="2" t="s">
        <v>2265</v>
      </c>
      <c r="I26" s="2" t="s">
        <v>2264</v>
      </c>
      <c r="J26" s="2">
        <v>20</v>
      </c>
      <c r="K26" s="2" t="s">
        <v>920</v>
      </c>
      <c r="L26" s="2" t="s">
        <v>920</v>
      </c>
      <c r="M26" s="2" t="s">
        <v>597</v>
      </c>
      <c r="N26" s="2" t="s">
        <v>1019</v>
      </c>
      <c r="O26" s="17" t="s">
        <v>2170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202323</v>
      </c>
      <c r="B31" s="2" t="s">
        <v>10</v>
      </c>
      <c r="C31" s="2" t="s">
        <v>49</v>
      </c>
      <c r="D31" s="2" t="s">
        <v>53</v>
      </c>
      <c r="E31" s="7" t="s">
        <v>2254</v>
      </c>
      <c r="F31" s="3" t="str">
        <f>HYPERLINK("https://stat100.ameba.jp/tnk47/ratio20/illustrations/card/ill_202323_kurimupan03.jpg", "■")</f>
        <v>■</v>
      </c>
      <c r="G31" s="2" t="s">
        <v>2256</v>
      </c>
      <c r="H31" s="2" t="s">
        <v>926</v>
      </c>
      <c r="I31" s="2" t="s">
        <v>927</v>
      </c>
      <c r="J31" s="2">
        <v>14</v>
      </c>
      <c r="K31" s="2" t="s">
        <v>920</v>
      </c>
      <c r="L31" s="2" t="s">
        <v>920</v>
      </c>
      <c r="M31" s="2" t="s">
        <v>2255</v>
      </c>
      <c r="N31" s="2" t="s">
        <v>940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5A53D-FBA8-4219-9E8A-016B62A11E51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1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1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71153</v>
      </c>
      <c r="B3" s="2" t="s">
        <v>726</v>
      </c>
      <c r="C3" s="2" t="s">
        <v>0</v>
      </c>
      <c r="D3" s="2" t="s">
        <v>3</v>
      </c>
      <c r="E3" s="7" t="s">
        <v>1117</v>
      </c>
      <c r="F3" s="3" t="str">
        <f>HYPERLINK("https://stat100.ameba.jp/tnk47/ratio20/illustrations/card/ill_71153_dekamoriokonomiyaki03.jpg", "■")</f>
        <v>■</v>
      </c>
      <c r="G3" s="2" t="s">
        <v>474</v>
      </c>
      <c r="H3" s="2" t="s">
        <v>67</v>
      </c>
      <c r="I3" s="2" t="s">
        <v>473</v>
      </c>
      <c r="J3" s="2">
        <v>11</v>
      </c>
      <c r="K3" s="2">
        <v>51948</v>
      </c>
      <c r="L3" s="2">
        <v>48305</v>
      </c>
      <c r="M3" s="2" t="s">
        <v>47</v>
      </c>
      <c r="N3" s="2" t="s">
        <v>39</v>
      </c>
      <c r="O3" s="11" t="s">
        <v>1519</v>
      </c>
    </row>
    <row r="4" spans="1:15">
      <c r="A4" s="2">
        <v>71253</v>
      </c>
      <c r="B4" s="2" t="s">
        <v>726</v>
      </c>
      <c r="C4" s="2" t="s">
        <v>2</v>
      </c>
      <c r="D4" s="2" t="s">
        <v>40</v>
      </c>
      <c r="E4" s="7" t="s">
        <v>1118</v>
      </c>
      <c r="F4" s="3" t="str">
        <f>HYPERLINK("https://stat100.ameba.jp/tnk47/ratio20/illustrations/card/ill_71253_tenkurojikeidantenkataihei03.jpg", "■")</f>
        <v>■</v>
      </c>
      <c r="G4" s="2" t="s">
        <v>471</v>
      </c>
      <c r="I4" s="2" t="s">
        <v>472</v>
      </c>
      <c r="J4" s="2">
        <v>9</v>
      </c>
      <c r="K4" s="2">
        <v>33454</v>
      </c>
      <c r="L4" s="2">
        <v>35766</v>
      </c>
      <c r="M4" s="2" t="s">
        <v>46</v>
      </c>
      <c r="N4" s="2" t="s">
        <v>990</v>
      </c>
      <c r="O4" s="11"/>
    </row>
    <row r="5" spans="1:15">
      <c r="A5" s="2">
        <v>71231</v>
      </c>
      <c r="B5" s="2" t="s">
        <v>4</v>
      </c>
      <c r="C5" s="2" t="s">
        <v>5</v>
      </c>
      <c r="D5" s="2" t="s">
        <v>40</v>
      </c>
      <c r="E5" s="7" t="s">
        <v>1119</v>
      </c>
      <c r="F5" s="3" t="str">
        <f>HYPERLINK("https://stat100.ameba.jp/tnk47/ratio20/illustrations/card/ill_71231_tenkurojikeidanhigashikokumimawari01.jpg", "■")</f>
        <v>■</v>
      </c>
      <c r="G5" s="2" t="s">
        <v>469</v>
      </c>
      <c r="H5" s="2" t="s">
        <v>247</v>
      </c>
      <c r="J5" s="2">
        <v>9</v>
      </c>
      <c r="K5" s="2">
        <v>15390</v>
      </c>
      <c r="L5" s="2">
        <v>17100</v>
      </c>
      <c r="M5" s="2" t="s">
        <v>45</v>
      </c>
      <c r="N5" s="2" t="s">
        <v>41</v>
      </c>
      <c r="O5" s="11"/>
    </row>
    <row r="6" spans="1:15">
      <c r="A6" s="2">
        <v>71241</v>
      </c>
      <c r="B6" s="2" t="s">
        <v>4</v>
      </c>
      <c r="C6" s="2" t="s">
        <v>0</v>
      </c>
      <c r="D6" s="2" t="s">
        <v>40</v>
      </c>
      <c r="E6" s="7" t="s">
        <v>1120</v>
      </c>
      <c r="F6" s="3" t="str">
        <f>HYPERLINK("https://stat100.ameba.jp/tnk47/ratio20/illustrations/card/ill_71241_tenkurojikeidannishikokumimawari01.jpg", "■")</f>
        <v>■</v>
      </c>
      <c r="G6" s="2" t="s">
        <v>470</v>
      </c>
      <c r="H6" s="2" t="s">
        <v>249</v>
      </c>
      <c r="J6" s="2">
        <v>9</v>
      </c>
      <c r="K6" s="2">
        <v>15390</v>
      </c>
      <c r="L6" s="2">
        <v>17100</v>
      </c>
      <c r="M6" s="2" t="s">
        <v>44</v>
      </c>
      <c r="N6" s="2" t="s">
        <v>41</v>
      </c>
      <c r="O6" s="11"/>
    </row>
    <row r="7" spans="1:15">
      <c r="A7" s="2">
        <v>71163</v>
      </c>
      <c r="B7" s="2" t="s">
        <v>4</v>
      </c>
      <c r="C7" s="2" t="s">
        <v>42</v>
      </c>
      <c r="D7" s="2" t="s">
        <v>3</v>
      </c>
      <c r="E7" s="7" t="s">
        <v>1121</v>
      </c>
      <c r="F7" s="3" t="str">
        <f>HYPERLINK("https://stat100.ameba.jp/tnk47/ratio20/illustrations/card/ill_71163_dekamorisupukare03.jpg", "■")</f>
        <v>■</v>
      </c>
      <c r="G7" s="2" t="s">
        <v>290</v>
      </c>
      <c r="H7" s="2" t="s">
        <v>66</v>
      </c>
      <c r="I7" s="2" t="s">
        <v>288</v>
      </c>
      <c r="J7" s="2">
        <v>8</v>
      </c>
      <c r="K7" s="2">
        <v>21507</v>
      </c>
      <c r="L7" s="2">
        <v>23712</v>
      </c>
      <c r="M7" s="2" t="s">
        <v>43</v>
      </c>
      <c r="N7" s="2" t="s">
        <v>991</v>
      </c>
      <c r="O7" s="11"/>
    </row>
    <row r="8" spans="1:15">
      <c r="A8" s="2">
        <v>71173</v>
      </c>
      <c r="B8" s="2" t="s">
        <v>4</v>
      </c>
      <c r="C8" s="2" t="s">
        <v>12</v>
      </c>
      <c r="D8" s="2" t="s">
        <v>3</v>
      </c>
      <c r="E8" s="7" t="s">
        <v>1122</v>
      </c>
      <c r="F8" s="3" t="str">
        <f>HYPERLINK("https://stat100.ameba.jp/tnk47/ratio20/illustrations/card/ill_71173_dekamoritakoraisu03.jpg", "■")</f>
        <v>■</v>
      </c>
      <c r="G8" s="2" t="s">
        <v>289</v>
      </c>
      <c r="H8" s="2" t="s">
        <v>18</v>
      </c>
      <c r="I8" s="2" t="s">
        <v>287</v>
      </c>
      <c r="J8" s="2">
        <v>9</v>
      </c>
      <c r="K8" s="2">
        <v>26676</v>
      </c>
      <c r="L8" s="2">
        <v>24195</v>
      </c>
      <c r="M8" s="2" t="s">
        <v>48</v>
      </c>
      <c r="N8" s="2" t="s">
        <v>992</v>
      </c>
      <c r="O8" s="11" t="s">
        <v>1537</v>
      </c>
    </row>
    <row r="9" spans="1:15">
      <c r="A9" s="2">
        <v>71183</v>
      </c>
      <c r="B9" s="2" t="s">
        <v>10</v>
      </c>
      <c r="C9" s="2" t="s">
        <v>49</v>
      </c>
      <c r="D9" s="2" t="s">
        <v>3</v>
      </c>
      <c r="E9" s="7" t="s">
        <v>1123</v>
      </c>
      <c r="F9" s="3" t="str">
        <f>HYPERLINK("https://stat100.ameba.jp/tnk47/ratio20/illustrations/card/ill_71183_hitsumabushi03.jpg", "■")</f>
        <v>■</v>
      </c>
      <c r="G9" s="2" t="s">
        <v>273</v>
      </c>
      <c r="H9" s="2" t="s">
        <v>19</v>
      </c>
      <c r="I9" s="2" t="s">
        <v>20</v>
      </c>
      <c r="J9" s="2">
        <v>11</v>
      </c>
      <c r="K9" s="2">
        <v>19016</v>
      </c>
      <c r="L9" s="2">
        <v>22871</v>
      </c>
      <c r="M9" s="2" t="s">
        <v>50</v>
      </c>
      <c r="N9" s="2" t="s">
        <v>51</v>
      </c>
      <c r="O9" s="11"/>
    </row>
    <row r="10" spans="1:15">
      <c r="A10" s="2">
        <v>71193</v>
      </c>
      <c r="B10" s="2" t="s">
        <v>10</v>
      </c>
      <c r="C10" s="2" t="s">
        <v>32</v>
      </c>
      <c r="D10" s="2" t="s">
        <v>3</v>
      </c>
      <c r="E10" s="7" t="s">
        <v>1124</v>
      </c>
      <c r="F10" s="3" t="str">
        <f>HYPERLINK("https://stat100.ameba.jp/tnk47/ratio20/illustrations/card/ill_71193_oiwaitai03.jpg", "■")</f>
        <v>■</v>
      </c>
      <c r="G10" s="2" t="s">
        <v>272</v>
      </c>
      <c r="H10" s="2" t="s">
        <v>64</v>
      </c>
      <c r="I10" s="2" t="s">
        <v>65</v>
      </c>
      <c r="J10" s="2">
        <v>7</v>
      </c>
      <c r="K10" s="2">
        <v>12101</v>
      </c>
      <c r="L10" s="2">
        <v>14554</v>
      </c>
      <c r="M10" s="2" t="s">
        <v>52</v>
      </c>
      <c r="N10" s="2" t="s">
        <v>993</v>
      </c>
      <c r="O10" s="11"/>
    </row>
    <row r="11" spans="1:15">
      <c r="A11" s="2">
        <v>71203</v>
      </c>
      <c r="B11" s="2" t="s">
        <v>13</v>
      </c>
      <c r="C11" s="2" t="s">
        <v>54</v>
      </c>
      <c r="D11" s="2" t="s">
        <v>53</v>
      </c>
      <c r="E11" s="7" t="s">
        <v>1125</v>
      </c>
      <c r="F11" s="3" t="str">
        <f>HYPERLINK("https://stat100.ameba.jp/tnk47/ratio20/illustrations/card/ill_71203_buruberichan03.jpg", "■")</f>
        <v>■</v>
      </c>
      <c r="G11" s="2" t="s">
        <v>271</v>
      </c>
      <c r="H11" s="2" t="s">
        <v>122</v>
      </c>
      <c r="I11" s="2" t="s">
        <v>733</v>
      </c>
      <c r="J11" s="2">
        <v>5</v>
      </c>
      <c r="K11" s="2">
        <v>6294</v>
      </c>
      <c r="L11" s="2">
        <v>5286</v>
      </c>
      <c r="M11" s="2" t="s">
        <v>55</v>
      </c>
      <c r="N11" s="2" t="s">
        <v>56</v>
      </c>
      <c r="O11" s="11"/>
    </row>
    <row r="12" spans="1:15">
      <c r="A12" s="2">
        <v>71213</v>
      </c>
      <c r="B12" s="2" t="s">
        <v>13</v>
      </c>
      <c r="C12" s="2" t="s">
        <v>57</v>
      </c>
      <c r="D12" s="2" t="s">
        <v>40</v>
      </c>
      <c r="E12" s="7" t="s">
        <v>1126</v>
      </c>
      <c r="F12" s="3" t="str">
        <f>HYPERLINK("https://stat100.ameba.jp/tnk47/ratio20/illustrations/card/ill_71213_akiyamayoshifuru03.jpg", "■")</f>
        <v>■</v>
      </c>
      <c r="G12" s="2" t="s">
        <v>270</v>
      </c>
      <c r="H12" s="2" t="s">
        <v>122</v>
      </c>
      <c r="I12" s="2" t="s">
        <v>733</v>
      </c>
      <c r="J12" s="2">
        <v>10</v>
      </c>
      <c r="K12" s="2">
        <v>10572</v>
      </c>
      <c r="L12" s="2">
        <v>12588</v>
      </c>
      <c r="M12" s="2" t="s">
        <v>58</v>
      </c>
      <c r="N12" s="2" t="s">
        <v>59</v>
      </c>
      <c r="O12" s="11"/>
    </row>
    <row r="13" spans="1:15">
      <c r="A13" s="2">
        <v>71223</v>
      </c>
      <c r="B13" s="2" t="s">
        <v>13</v>
      </c>
      <c r="C13" s="2" t="s">
        <v>60</v>
      </c>
      <c r="D13" s="2" t="s">
        <v>61</v>
      </c>
      <c r="E13" s="7" t="s">
        <v>1127</v>
      </c>
      <c r="F13" s="3" t="str">
        <f>HYPERLINK("https://stat100.ameba.jp/tnk47/ratio20/illustrations/card/ill_71223_rindochan03.jpg", "■")</f>
        <v>■</v>
      </c>
      <c r="G13" s="2" t="s">
        <v>269</v>
      </c>
      <c r="H13" s="2" t="s">
        <v>122</v>
      </c>
      <c r="I13" s="2" t="s">
        <v>733</v>
      </c>
      <c r="J13" s="2">
        <v>10</v>
      </c>
      <c r="K13" s="2">
        <v>12588</v>
      </c>
      <c r="L13" s="2">
        <v>10572</v>
      </c>
      <c r="M13" s="2" t="s">
        <v>62</v>
      </c>
      <c r="N13" s="2" t="s">
        <v>63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18CA-1680-408C-9B33-FAAFCA512CB7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202833</v>
      </c>
      <c r="B3" s="2" t="s">
        <v>726</v>
      </c>
      <c r="C3" s="2" t="s">
        <v>92</v>
      </c>
      <c r="D3" s="2" t="s">
        <v>154</v>
      </c>
      <c r="E3" s="7" t="s">
        <v>2278</v>
      </c>
      <c r="F3" s="3" t="str">
        <f>HYPERLINK("https://stat100.ameba.jp/tnk47/ratio20/illustrations/card/ill_202833_bentenhyoikannagi03.jpg", "■")</f>
        <v>■</v>
      </c>
      <c r="G3" s="2" t="s">
        <v>2311</v>
      </c>
      <c r="H3" s="2" t="s">
        <v>2312</v>
      </c>
      <c r="I3" s="2" t="s">
        <v>876</v>
      </c>
      <c r="J3" s="2">
        <v>22</v>
      </c>
      <c r="K3" s="2">
        <v>136862</v>
      </c>
      <c r="L3" s="2">
        <v>127249</v>
      </c>
      <c r="M3" s="2" t="s">
        <v>2277</v>
      </c>
      <c r="N3" s="2" t="s">
        <v>2295</v>
      </c>
      <c r="O3" s="11"/>
    </row>
    <row r="4" spans="1:15">
      <c r="A4" s="2">
        <v>202915</v>
      </c>
      <c r="B4" s="2" t="s">
        <v>726</v>
      </c>
      <c r="C4" s="2" t="s">
        <v>1910</v>
      </c>
      <c r="D4" s="2" t="s">
        <v>154</v>
      </c>
      <c r="E4" s="7" t="s">
        <v>2280</v>
      </c>
      <c r="F4" s="3" t="str">
        <f>HYPERLINK("https://stat100.ameba.jp/tnk47/ratio20/illustrations/card/ill_202915_amenofuyukinunokami05.jpg", "■")</f>
        <v>■</v>
      </c>
      <c r="G4" s="2" t="s">
        <v>2303</v>
      </c>
      <c r="H4" s="2" t="s">
        <v>2309</v>
      </c>
      <c r="I4" s="2" t="s">
        <v>2310</v>
      </c>
      <c r="J4" s="2">
        <v>18</v>
      </c>
      <c r="K4" s="2">
        <v>61274</v>
      </c>
      <c r="L4" s="2">
        <v>84635</v>
      </c>
      <c r="M4" s="2" t="s">
        <v>2279</v>
      </c>
      <c r="N4" s="2" t="s">
        <v>2296</v>
      </c>
      <c r="O4" s="11"/>
    </row>
    <row r="5" spans="1:15">
      <c r="A5" s="2">
        <v>202843</v>
      </c>
      <c r="B5" s="2" t="s">
        <v>4</v>
      </c>
      <c r="C5" s="2" t="s">
        <v>8</v>
      </c>
      <c r="D5" s="2" t="s">
        <v>90</v>
      </c>
      <c r="E5" s="7" t="s">
        <v>2282</v>
      </c>
      <c r="F5" s="3" t="str">
        <f>HYPERLINK("https://stat100.ameba.jp/tnk47/ratio20/illustrations/card/ill_202843_miyajimenodammari03.jpg", "■")</f>
        <v>■</v>
      </c>
      <c r="G5" s="2" t="s">
        <v>2307</v>
      </c>
      <c r="H5" s="2" t="s">
        <v>2306</v>
      </c>
      <c r="I5" s="2" t="s">
        <v>2308</v>
      </c>
      <c r="J5" s="2">
        <v>18</v>
      </c>
      <c r="K5" s="2">
        <v>48391</v>
      </c>
      <c r="L5" s="2">
        <v>53352</v>
      </c>
      <c r="M5" s="2" t="s">
        <v>2281</v>
      </c>
      <c r="N5" s="2" t="s">
        <v>1069</v>
      </c>
      <c r="O5" s="11"/>
    </row>
    <row r="6" spans="1:15">
      <c r="A6" s="2">
        <v>202853</v>
      </c>
      <c r="B6" s="2" t="s">
        <v>4</v>
      </c>
      <c r="C6" s="2" t="s">
        <v>103</v>
      </c>
      <c r="D6" s="2" t="s">
        <v>118</v>
      </c>
      <c r="E6" s="7" t="s">
        <v>2284</v>
      </c>
      <c r="F6" s="3" t="str">
        <f>HYPERLINK("https://stat100.ameba.jp/tnk47/ratio20/illustrations/card/ill_202853_okochimasatoshi03.jpg", "■")</f>
        <v>■</v>
      </c>
      <c r="G6" s="2" t="s">
        <v>2305</v>
      </c>
      <c r="H6" s="2" t="s">
        <v>2272</v>
      </c>
      <c r="I6" s="2" t="s">
        <v>2266</v>
      </c>
      <c r="J6" s="2">
        <v>18</v>
      </c>
      <c r="K6" s="2">
        <v>53352</v>
      </c>
      <c r="L6" s="2">
        <v>48391</v>
      </c>
      <c r="M6" s="2" t="s">
        <v>2283</v>
      </c>
      <c r="N6" s="2" t="s">
        <v>1050</v>
      </c>
      <c r="O6" s="11"/>
    </row>
    <row r="7" spans="1:15">
      <c r="A7" s="2">
        <v>202873</v>
      </c>
      <c r="B7" s="2" t="s">
        <v>10</v>
      </c>
      <c r="C7" s="2" t="s">
        <v>138</v>
      </c>
      <c r="D7" s="2" t="s">
        <v>151</v>
      </c>
      <c r="E7" s="7" t="s">
        <v>2286</v>
      </c>
      <c r="F7" s="3" t="str">
        <f>HYPERLINK("https://stat100.ameba.jp/tnk47/ratio20/illustrations/card/ill_202873_izumishikibu03.jpg", "■")</f>
        <v>■</v>
      </c>
      <c r="G7" s="2" t="s">
        <v>2302</v>
      </c>
      <c r="H7" s="2" t="s">
        <v>2273</v>
      </c>
      <c r="I7" s="2" t="s">
        <v>2267</v>
      </c>
      <c r="J7" s="2">
        <v>20</v>
      </c>
      <c r="K7" s="2">
        <v>41584</v>
      </c>
      <c r="L7" s="2">
        <v>34576</v>
      </c>
      <c r="M7" s="2" t="s">
        <v>2285</v>
      </c>
      <c r="N7" s="2" t="s">
        <v>2297</v>
      </c>
      <c r="O7" s="11"/>
    </row>
    <row r="8" spans="1:15">
      <c r="A8" s="2">
        <v>202863</v>
      </c>
      <c r="B8" s="2" t="s">
        <v>10</v>
      </c>
      <c r="C8" s="2" t="s">
        <v>12</v>
      </c>
      <c r="D8" s="2" t="s">
        <v>118</v>
      </c>
      <c r="E8" s="7" t="s">
        <v>2288</v>
      </c>
      <c r="F8" s="3" t="str">
        <f>HYPERLINK("https://stat100.ameba.jp/tnk47/ratio20/illustrations/card/ill_202863_mikayorihime03.jpg", "■")</f>
        <v>■</v>
      </c>
      <c r="G8" s="2" t="s">
        <v>2304</v>
      </c>
      <c r="H8" s="2" t="s">
        <v>1791</v>
      </c>
      <c r="I8" s="2" t="s">
        <v>2268</v>
      </c>
      <c r="J8" s="2">
        <v>16</v>
      </c>
      <c r="K8" s="2">
        <v>27660</v>
      </c>
      <c r="L8" s="2">
        <v>33267</v>
      </c>
      <c r="M8" s="2" t="s">
        <v>2287</v>
      </c>
      <c r="N8" s="2" t="s">
        <v>187</v>
      </c>
      <c r="O8" s="11"/>
    </row>
    <row r="9" spans="1:15">
      <c r="A9" s="2">
        <v>202883</v>
      </c>
      <c r="B9" s="2" t="s">
        <v>13</v>
      </c>
      <c r="C9" s="2" t="s">
        <v>98</v>
      </c>
      <c r="D9" s="2" t="s">
        <v>114</v>
      </c>
      <c r="E9" s="7" t="s">
        <v>2290</v>
      </c>
      <c r="F9" s="3" t="str">
        <f>HYPERLINK("https://stat100.ameba.jp/tnk47/ratio20/illustrations/card/ill_202883_uesugiyozan03.jpg", "■")</f>
        <v>■</v>
      </c>
      <c r="G9" s="2" t="s">
        <v>2300</v>
      </c>
      <c r="H9" s="2" t="s">
        <v>122</v>
      </c>
      <c r="I9" s="2" t="s">
        <v>2301</v>
      </c>
      <c r="J9" s="2">
        <v>14</v>
      </c>
      <c r="K9" s="2">
        <v>14800</v>
      </c>
      <c r="L9" s="2">
        <v>17623</v>
      </c>
      <c r="M9" s="2" t="s">
        <v>2289</v>
      </c>
      <c r="N9" s="2" t="s">
        <v>1837</v>
      </c>
      <c r="O9" s="11"/>
    </row>
    <row r="10" spans="1:15">
      <c r="A10" s="2">
        <v>204293</v>
      </c>
      <c r="B10" s="2" t="s">
        <v>13</v>
      </c>
      <c r="C10" s="2" t="s">
        <v>338</v>
      </c>
      <c r="D10" s="2" t="s">
        <v>90</v>
      </c>
      <c r="E10" s="7" t="s">
        <v>2292</v>
      </c>
      <c r="F10" s="3" t="str">
        <f>HYPERLINK("https://stat100.ameba.jp/tnk47/ratio20/illustrations/card/ill_204293_momotarou03.jpg", "■")</f>
        <v>■</v>
      </c>
      <c r="G10" s="2" t="s">
        <v>2299</v>
      </c>
      <c r="H10" s="2" t="s">
        <v>122</v>
      </c>
      <c r="I10" s="2" t="s">
        <v>2076</v>
      </c>
      <c r="J10" s="2">
        <v>14</v>
      </c>
      <c r="K10" s="2">
        <v>17623</v>
      </c>
      <c r="L10" s="2">
        <v>14800</v>
      </c>
      <c r="M10" s="2" t="s">
        <v>2291</v>
      </c>
      <c r="N10" s="2" t="s">
        <v>112</v>
      </c>
      <c r="O10" s="11"/>
    </row>
    <row r="11" spans="1:15">
      <c r="A11" s="2">
        <v>202903</v>
      </c>
      <c r="B11" s="2" t="s">
        <v>13</v>
      </c>
      <c r="C11" s="2" t="s">
        <v>1648</v>
      </c>
      <c r="D11" s="2" t="s">
        <v>93</v>
      </c>
      <c r="E11" s="7" t="s">
        <v>2294</v>
      </c>
      <c r="F11" s="3" t="str">
        <f>HYPERLINK("https://stat100.ameba.jp/tnk47/ratio20/illustrations/card/ill_202903_shishimai03.jpg", "■")</f>
        <v>■</v>
      </c>
      <c r="G11" s="2" t="s">
        <v>2298</v>
      </c>
      <c r="H11" s="2" t="s">
        <v>122</v>
      </c>
      <c r="I11" s="2" t="s">
        <v>2076</v>
      </c>
      <c r="J11" s="2">
        <v>14</v>
      </c>
      <c r="K11" s="2">
        <v>14800</v>
      </c>
      <c r="L11" s="2">
        <v>17623</v>
      </c>
      <c r="M11" s="2" t="s">
        <v>2293</v>
      </c>
      <c r="N11" s="2" t="s">
        <v>1728</v>
      </c>
      <c r="O11" s="11"/>
    </row>
    <row r="13" spans="1:15">
      <c r="A13" t="s">
        <v>1858</v>
      </c>
    </row>
    <row r="14" spans="1:15">
      <c r="A14" s="2">
        <v>94763</v>
      </c>
      <c r="B14" s="2" t="s">
        <v>1450</v>
      </c>
      <c r="C14" s="2" t="s">
        <v>2</v>
      </c>
      <c r="D14" s="2" t="s">
        <v>118</v>
      </c>
      <c r="E14" s="7" t="s">
        <v>2150</v>
      </c>
      <c r="F14" s="3" t="str">
        <f>HYPERLINK("https://stat100.ameba.jp/tnk47/ratio20/illustrations/card/ill_94763_sosenkyotenshoinatsuhime03.jpg", "■")</f>
        <v>■</v>
      </c>
      <c r="G14" s="2" t="s">
        <v>2174</v>
      </c>
      <c r="J14" s="2">
        <v>20</v>
      </c>
      <c r="K14" s="2" t="s">
        <v>920</v>
      </c>
      <c r="L14" s="2" t="s">
        <v>920</v>
      </c>
      <c r="M14" s="2" t="s">
        <v>2164</v>
      </c>
      <c r="N14" s="2" t="s">
        <v>2209</v>
      </c>
    </row>
    <row r="15" spans="1:15">
      <c r="A15" s="2">
        <v>81033</v>
      </c>
      <c r="B15" s="2" t="s">
        <v>726</v>
      </c>
      <c r="C15" s="2" t="s">
        <v>92</v>
      </c>
      <c r="D15" s="2" t="s">
        <v>93</v>
      </c>
      <c r="E15" s="2" t="s">
        <v>2151</v>
      </c>
      <c r="F15" s="3" t="str">
        <f>HYPERLINK("https://stat100.ameba.jp/tnk47/ratio20/illustrations/card/ill_81033_sakasuibarakiyanki03.jpg", "■")</f>
        <v>■</v>
      </c>
      <c r="G15" s="2" t="s">
        <v>820</v>
      </c>
      <c r="I15" s="2" t="str">
        <f>'1905'!I3</f>
        <v>15+13+(15+14)</v>
      </c>
      <c r="J15" s="2">
        <v>20</v>
      </c>
      <c r="K15" s="2" t="s">
        <v>920</v>
      </c>
      <c r="L15" s="2" t="s">
        <v>920</v>
      </c>
      <c r="M15" s="2" t="s">
        <v>663</v>
      </c>
      <c r="N15" s="2" t="s">
        <v>1048</v>
      </c>
      <c r="O15" s="2" t="s">
        <v>2165</v>
      </c>
    </row>
    <row r="16" spans="1:15">
      <c r="A16" s="2">
        <v>81633</v>
      </c>
      <c r="B16" s="2" t="s">
        <v>726</v>
      </c>
      <c r="C16" s="2" t="s">
        <v>92</v>
      </c>
      <c r="D16" s="2" t="s">
        <v>128</v>
      </c>
      <c r="E16" s="2" t="s">
        <v>2152</v>
      </c>
      <c r="F16" s="3" t="str">
        <f>HYPERLINK("https://stat100.ameba.jp/tnk47/ratio20/illustrations/card/ill_81633_amehimenogyakushunohime03.jpg", "■")</f>
        <v>■</v>
      </c>
      <c r="G16" s="2" t="s">
        <v>855</v>
      </c>
      <c r="I16" s="2" t="str">
        <f>'1906'!I3</f>
        <v>倉庫行き</v>
      </c>
      <c r="J16" s="2">
        <v>20</v>
      </c>
      <c r="K16" s="2" t="s">
        <v>920</v>
      </c>
      <c r="L16" s="2" t="s">
        <v>920</v>
      </c>
      <c r="M16" s="2" t="s">
        <v>680</v>
      </c>
      <c r="N16" s="2" t="s">
        <v>978</v>
      </c>
      <c r="O16" s="17" t="s">
        <v>2166</v>
      </c>
    </row>
    <row r="17" spans="1:15">
      <c r="A17" s="2">
        <v>82273</v>
      </c>
      <c r="B17" s="2" t="s">
        <v>726</v>
      </c>
      <c r="C17" s="2" t="s">
        <v>2</v>
      </c>
      <c r="D17" s="2" t="s">
        <v>53</v>
      </c>
      <c r="E17" s="7" t="s">
        <v>2153</v>
      </c>
      <c r="F17" s="3" t="str">
        <f>HYPERLINK("https://stat100.ameba.jp/tnk47/ratio20/illustrations/card/ill_82273_tanabatatoyamaburakku03.jpg", "■")</f>
        <v>■</v>
      </c>
      <c r="G17" s="2" t="s">
        <v>734</v>
      </c>
      <c r="I17" s="2" t="str">
        <f>'1907'!I5</f>
        <v>19+16+(17+16)</v>
      </c>
      <c r="J17" s="2">
        <v>20</v>
      </c>
      <c r="K17" s="2" t="s">
        <v>920</v>
      </c>
      <c r="L17" s="2" t="s">
        <v>920</v>
      </c>
      <c r="M17" s="2" t="s">
        <v>707</v>
      </c>
      <c r="N17" s="2" t="s">
        <v>39</v>
      </c>
      <c r="O17" s="17" t="s">
        <v>2167</v>
      </c>
    </row>
    <row r="18" spans="1:15">
      <c r="A18" s="2">
        <v>82813</v>
      </c>
      <c r="B18" s="2" t="s">
        <v>726</v>
      </c>
      <c r="C18" s="2" t="s">
        <v>92</v>
      </c>
      <c r="D18" s="2" t="s">
        <v>7</v>
      </c>
      <c r="E18" s="7" t="s">
        <v>2154</v>
      </c>
      <c r="F18" s="3" t="str">
        <f>HYPERLINK("https://stat100.ameba.jp/tnk47/ratio20/illustrations/card/ill_82813_kyofunobyotoumizato03.jpg", "■")</f>
        <v>■</v>
      </c>
      <c r="G18" s="2" t="s">
        <v>746</v>
      </c>
      <c r="I18" s="2" t="str">
        <f>'1908'!I3</f>
        <v>倉庫行き</v>
      </c>
      <c r="J18" s="2">
        <v>20</v>
      </c>
      <c r="K18" s="2" t="s">
        <v>920</v>
      </c>
      <c r="L18" s="2" t="s">
        <v>920</v>
      </c>
      <c r="M18" s="2" t="s">
        <v>739</v>
      </c>
      <c r="N18" s="2" t="s">
        <v>740</v>
      </c>
      <c r="O18" s="17" t="s">
        <v>2172</v>
      </c>
    </row>
    <row r="19" spans="1:15">
      <c r="A19" s="2">
        <v>83403</v>
      </c>
      <c r="B19" s="2" t="s">
        <v>726</v>
      </c>
      <c r="C19" s="2" t="s">
        <v>92</v>
      </c>
      <c r="D19" s="2" t="s">
        <v>114</v>
      </c>
      <c r="E19" s="7" t="s">
        <v>2155</v>
      </c>
      <c r="F19" s="3" t="str">
        <f>HYPERLINK("https://stat100.ameba.jp/tnk47/ratio20/illustrations/card/ill_83403_yuenchihazadosoyoshitoshi03.jpg", "■")</f>
        <v>■</v>
      </c>
      <c r="G19" s="2" t="s">
        <v>793</v>
      </c>
      <c r="I19" s="2" t="str">
        <f>'1909'!I5</f>
        <v>20+18+(19+18),16</v>
      </c>
      <c r="J19" s="2">
        <v>20</v>
      </c>
      <c r="K19" s="2" t="s">
        <v>920</v>
      </c>
      <c r="L19" s="2" t="s">
        <v>920</v>
      </c>
      <c r="M19" s="2" t="s">
        <v>770</v>
      </c>
      <c r="N19" s="2" t="s">
        <v>1056</v>
      </c>
      <c r="O19" s="17" t="s">
        <v>2168</v>
      </c>
    </row>
    <row r="20" spans="1:15">
      <c r="A20" s="2">
        <v>84053</v>
      </c>
      <c r="B20" s="2" t="s">
        <v>726</v>
      </c>
      <c r="C20" s="2" t="s">
        <v>2</v>
      </c>
      <c r="D20" s="2" t="s">
        <v>154</v>
      </c>
      <c r="E20" s="7" t="s">
        <v>2156</v>
      </c>
      <c r="F20" s="3" t="str">
        <f>HYPERLINK("https://stat100.ameba.jp/tnk47/ratio20/illustrations/card/ill_84053_yokaitaisenjamegami03.jpg", "■")</f>
        <v>■</v>
      </c>
      <c r="G20" s="2" t="s">
        <v>801</v>
      </c>
      <c r="I20" s="2" t="str">
        <f>'1910'!I3</f>
        <v>倉庫行き</v>
      </c>
      <c r="J20" s="2">
        <v>20</v>
      </c>
      <c r="K20" s="2" t="s">
        <v>920</v>
      </c>
      <c r="L20" s="2" t="s">
        <v>920</v>
      </c>
      <c r="M20" s="2" t="s">
        <v>800</v>
      </c>
      <c r="N20" s="2" t="s">
        <v>1061</v>
      </c>
      <c r="O20" s="17" t="s">
        <v>2173</v>
      </c>
    </row>
    <row r="21" spans="1:15">
      <c r="A21" s="2">
        <v>81043</v>
      </c>
      <c r="B21" s="2" t="s">
        <v>4</v>
      </c>
      <c r="C21" s="2" t="s">
        <v>98</v>
      </c>
      <c r="D21" s="2" t="s">
        <v>93</v>
      </c>
      <c r="E21" s="2" t="s">
        <v>2157</v>
      </c>
      <c r="F21" s="3" t="str">
        <f>HYPERLINK("https://stat100.ameba.jp/tnk47/ratio20/illustrations/card/ill_81043_tsukinowaguma03.jpg", "■")</f>
        <v>■</v>
      </c>
      <c r="G21" s="2" t="s">
        <v>721</v>
      </c>
      <c r="I21" s="2" t="s">
        <v>2171</v>
      </c>
      <c r="J21" s="2">
        <v>20</v>
      </c>
      <c r="K21" s="2" t="s">
        <v>920</v>
      </c>
      <c r="L21" s="2" t="s">
        <v>920</v>
      </c>
      <c r="M21" s="2" t="s">
        <v>665</v>
      </c>
      <c r="N21" s="2" t="s">
        <v>976</v>
      </c>
      <c r="O21" s="2" t="s">
        <v>2165</v>
      </c>
    </row>
    <row r="22" spans="1:15">
      <c r="A22" s="2">
        <v>81643</v>
      </c>
      <c r="B22" s="2" t="s">
        <v>4</v>
      </c>
      <c r="C22" s="2" t="s">
        <v>103</v>
      </c>
      <c r="D22" s="2" t="s">
        <v>128</v>
      </c>
      <c r="E22" s="7" t="s">
        <v>2158</v>
      </c>
      <c r="F22" s="3" t="str">
        <f>HYPERLINK("https://stat100.ameba.jp/tnk47/ratio20/illustrations/card/ill_81643_orurinokata03.jpg", "■")</f>
        <v>■</v>
      </c>
      <c r="G22" s="2" t="s">
        <v>853</v>
      </c>
      <c r="H22" s="2" t="s">
        <v>1560</v>
      </c>
      <c r="I22" s="2" t="s">
        <v>2264</v>
      </c>
      <c r="J22" s="2">
        <v>20</v>
      </c>
      <c r="K22" s="2" t="s">
        <v>920</v>
      </c>
      <c r="L22" s="2" t="s">
        <v>920</v>
      </c>
      <c r="M22" s="2" t="s">
        <v>683</v>
      </c>
      <c r="N22" s="2" t="s">
        <v>981</v>
      </c>
      <c r="O22" s="17" t="s">
        <v>2166</v>
      </c>
    </row>
    <row r="23" spans="1:15">
      <c r="A23" s="2">
        <v>73613</v>
      </c>
      <c r="B23" s="2" t="s">
        <v>4</v>
      </c>
      <c r="C23" s="2" t="s">
        <v>6</v>
      </c>
      <c r="D23" s="2" t="s">
        <v>154</v>
      </c>
      <c r="E23" s="7" t="s">
        <v>160</v>
      </c>
      <c r="F23" s="3" t="str">
        <f>HYPERLINK("https://stat100.ameba.jp/tnk47/ratio20/illustrations/card/ill_73613_futamatatonneru03.jpg", "■")</f>
        <v>■</v>
      </c>
      <c r="G23" s="2" t="s">
        <v>521</v>
      </c>
      <c r="I23" s="2" t="s">
        <v>2171</v>
      </c>
      <c r="J23" s="2">
        <v>20</v>
      </c>
      <c r="K23" s="2" t="s">
        <v>920</v>
      </c>
      <c r="L23" s="2" t="s">
        <v>920</v>
      </c>
      <c r="M23" s="2" t="s">
        <v>159</v>
      </c>
      <c r="N23" s="2" t="s">
        <v>1007</v>
      </c>
      <c r="O23" s="17" t="s">
        <v>2167</v>
      </c>
    </row>
    <row r="24" spans="1:15">
      <c r="A24" s="2">
        <v>83413</v>
      </c>
      <c r="B24" s="2" t="s">
        <v>4</v>
      </c>
      <c r="C24" s="2" t="s">
        <v>32</v>
      </c>
      <c r="D24" s="2" t="s">
        <v>114</v>
      </c>
      <c r="E24" s="2" t="s">
        <v>2159</v>
      </c>
      <c r="F24" s="3" t="str">
        <f>HYPERLINK("https://stat100.ameba.jp/tnk47/ratio20/illustrations/card/ill_83413_viranzutoyotomihideyori03.jpg", "■")</f>
        <v>■</v>
      </c>
      <c r="G24" s="2" t="s">
        <v>791</v>
      </c>
      <c r="I24" s="2" t="s">
        <v>2171</v>
      </c>
      <c r="J24" s="2">
        <v>20</v>
      </c>
      <c r="K24" s="2" t="s">
        <v>920</v>
      </c>
      <c r="L24" s="2" t="s">
        <v>920</v>
      </c>
      <c r="M24" s="2" t="s">
        <v>774</v>
      </c>
      <c r="N24" s="2" t="s">
        <v>1058</v>
      </c>
      <c r="O24" s="17" t="s">
        <v>2168</v>
      </c>
    </row>
    <row r="25" spans="1:15">
      <c r="A25" s="2">
        <v>82283</v>
      </c>
      <c r="B25" s="2" t="s">
        <v>4</v>
      </c>
      <c r="C25" s="2" t="s">
        <v>8</v>
      </c>
      <c r="D25" s="2" t="s">
        <v>53</v>
      </c>
      <c r="E25" s="2" t="s">
        <v>2160</v>
      </c>
      <c r="F25" s="3" t="str">
        <f>HYPERLINK("https://stat100.ameba.jp/tnk47/ratio20/illustrations/card/ill_82283_uranaishioribuchan03.jpg", "■")</f>
        <v>■</v>
      </c>
      <c r="G25" s="2" t="s">
        <v>731</v>
      </c>
      <c r="I25" s="2" t="s">
        <v>2171</v>
      </c>
      <c r="J25" s="2">
        <v>20</v>
      </c>
      <c r="K25" s="2" t="s">
        <v>920</v>
      </c>
      <c r="L25" s="2" t="s">
        <v>920</v>
      </c>
      <c r="M25" s="2" t="s">
        <v>709</v>
      </c>
      <c r="N25" s="2" t="s">
        <v>991</v>
      </c>
      <c r="O25" s="17" t="s">
        <v>2169</v>
      </c>
    </row>
    <row r="26" spans="1:15">
      <c r="A26" s="2">
        <v>79883</v>
      </c>
      <c r="B26" s="2" t="s">
        <v>4</v>
      </c>
      <c r="C26" s="2" t="s">
        <v>634</v>
      </c>
      <c r="D26" s="2" t="s">
        <v>90</v>
      </c>
      <c r="E26" s="7" t="s">
        <v>2161</v>
      </c>
      <c r="F26" s="3" t="str">
        <f>HYPERLINK("https://stat100.ameba.jp/tnk47/ratio20/illustrations/card/ill_79883_kowakamai03.jpg", "■")</f>
        <v>■</v>
      </c>
      <c r="G26" s="2" t="s">
        <v>617</v>
      </c>
      <c r="I26" s="2" t="s">
        <v>2171</v>
      </c>
      <c r="J26" s="2">
        <v>20</v>
      </c>
      <c r="K26" s="2" t="s">
        <v>920</v>
      </c>
      <c r="L26" s="2" t="s">
        <v>920</v>
      </c>
      <c r="M26" s="2" t="s">
        <v>597</v>
      </c>
      <c r="N26" s="2" t="s">
        <v>1019</v>
      </c>
      <c r="O26" s="17" t="s">
        <v>2170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203003</v>
      </c>
      <c r="B31" s="2" t="s">
        <v>10</v>
      </c>
      <c r="C31" s="2" t="s">
        <v>98</v>
      </c>
      <c r="D31" s="2" t="s">
        <v>93</v>
      </c>
      <c r="E31" s="7" t="s">
        <v>2274</v>
      </c>
      <c r="F31" s="3" t="str">
        <f>HYPERLINK("https://stat100.ameba.jp/tnk47/ratio20/illustrations/card/ill_203003_nihonnoshougatsumarimo03.jpg", "■")</f>
        <v>■</v>
      </c>
      <c r="G31" s="2" t="s">
        <v>2275</v>
      </c>
      <c r="H31" s="2" t="s">
        <v>926</v>
      </c>
      <c r="I31" s="2" t="s">
        <v>927</v>
      </c>
      <c r="J31" s="2">
        <v>14</v>
      </c>
      <c r="K31" s="2" t="s">
        <v>920</v>
      </c>
      <c r="L31" s="2" t="s">
        <v>920</v>
      </c>
      <c r="M31" s="2" t="s">
        <v>2276</v>
      </c>
      <c r="N31" s="2" t="s">
        <v>335</v>
      </c>
    </row>
  </sheetData>
  <phoneticPr fontId="1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7259A-C70F-43FF-B339-748DC06CDEF3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203603</v>
      </c>
      <c r="B3" s="2" t="s">
        <v>726</v>
      </c>
      <c r="C3" s="2" t="s">
        <v>92</v>
      </c>
      <c r="D3" s="2" t="s">
        <v>118</v>
      </c>
      <c r="E3" s="7" t="s">
        <v>2314</v>
      </c>
      <c r="F3" s="3" t="str">
        <f>HYPERLINK("https://stat100.ameba.jp/tnk47/ratio20/illustrations/card/ill_203603_setsubunsaisuehirohiroko03.jpg", "■")</f>
        <v>■</v>
      </c>
      <c r="G3" s="2" t="s">
        <v>2340</v>
      </c>
      <c r="H3" s="2" t="s">
        <v>2312</v>
      </c>
      <c r="I3" s="2" t="s">
        <v>876</v>
      </c>
      <c r="J3" s="2">
        <v>22</v>
      </c>
      <c r="K3" s="2">
        <v>86853</v>
      </c>
      <c r="L3" s="2">
        <v>93358</v>
      </c>
      <c r="M3" s="2" t="s">
        <v>2313</v>
      </c>
      <c r="N3" s="2" t="s">
        <v>2343</v>
      </c>
      <c r="O3" s="11"/>
    </row>
    <row r="4" spans="1:15">
      <c r="A4" s="2">
        <v>203685</v>
      </c>
      <c r="B4" s="2" t="s">
        <v>726</v>
      </c>
      <c r="C4" s="2" t="s">
        <v>1949</v>
      </c>
      <c r="D4" s="2" t="s">
        <v>53</v>
      </c>
      <c r="E4" s="7" t="s">
        <v>2316</v>
      </c>
      <c r="F4" s="3" t="str">
        <f>HYPERLINK("https://stat100.ameba.jp/tnk47/ratio20/illustrations/card/ill_203685_katsuonotataki05.jpg", "■")</f>
        <v>■</v>
      </c>
      <c r="G4" s="2" t="s">
        <v>2317</v>
      </c>
      <c r="H4" s="2" t="s">
        <v>2309</v>
      </c>
      <c r="I4" s="2" t="s">
        <v>2339</v>
      </c>
      <c r="J4" s="2">
        <v>18</v>
      </c>
      <c r="K4" s="2">
        <v>97997</v>
      </c>
      <c r="L4" s="2">
        <v>70965</v>
      </c>
      <c r="M4" s="2" t="s">
        <v>2315</v>
      </c>
      <c r="N4" s="2" t="s">
        <v>2344</v>
      </c>
      <c r="O4" s="11"/>
    </row>
    <row r="5" spans="1:15">
      <c r="A5" s="2">
        <v>203613</v>
      </c>
      <c r="B5" s="2" t="s">
        <v>4</v>
      </c>
      <c r="C5" s="2" t="s">
        <v>103</v>
      </c>
      <c r="D5" s="2" t="s">
        <v>90</v>
      </c>
      <c r="E5" s="7" t="s">
        <v>2319</v>
      </c>
      <c r="F5" s="3" t="str">
        <f>HYPERLINK("https://stat100.ameba.jp/tnk47/ratio20/illustrations/card/ill_203613_setsubumpanikkushirotsubakinosei03.jpg", "■")</f>
        <v>■</v>
      </c>
      <c r="G5" s="2" t="s">
        <v>2338</v>
      </c>
      <c r="H5" s="2" t="s">
        <v>2306</v>
      </c>
      <c r="I5" s="2" t="s">
        <v>2308</v>
      </c>
      <c r="J5" s="2">
        <v>18</v>
      </c>
      <c r="K5" s="2">
        <v>53352</v>
      </c>
      <c r="L5" s="2">
        <v>48391</v>
      </c>
      <c r="M5" s="2" t="s">
        <v>2318</v>
      </c>
      <c r="N5" s="2" t="s">
        <v>1019</v>
      </c>
      <c r="O5" s="11"/>
    </row>
    <row r="6" spans="1:15">
      <c r="A6" s="2">
        <v>203623</v>
      </c>
      <c r="B6" s="2" t="s">
        <v>4</v>
      </c>
      <c r="C6" s="2" t="s">
        <v>138</v>
      </c>
      <c r="D6" s="2" t="s">
        <v>151</v>
      </c>
      <c r="E6" s="7" t="s">
        <v>2321</v>
      </c>
      <c r="F6" s="3" t="str">
        <f>HYPERLINK("https://stat100.ameba.jp/tnk47/ratio20/illustrations/card/ill_203623_setsubunkagaminookimi03.jpg", "■")</f>
        <v>■</v>
      </c>
      <c r="G6" s="2" t="s">
        <v>2337</v>
      </c>
      <c r="H6" s="2" t="s">
        <v>2272</v>
      </c>
      <c r="I6" s="2" t="s">
        <v>2266</v>
      </c>
      <c r="J6" s="2">
        <v>18</v>
      </c>
      <c r="K6" s="2">
        <v>48391</v>
      </c>
      <c r="L6" s="2">
        <v>53352</v>
      </c>
      <c r="M6" s="2" t="s">
        <v>2320</v>
      </c>
      <c r="N6" s="2" t="s">
        <v>1027</v>
      </c>
      <c r="O6" s="11"/>
    </row>
    <row r="7" spans="1:15">
      <c r="A7" s="2">
        <v>203643</v>
      </c>
      <c r="B7" s="2" t="s">
        <v>10</v>
      </c>
      <c r="C7" s="2" t="s">
        <v>12</v>
      </c>
      <c r="D7" s="2" t="s">
        <v>53</v>
      </c>
      <c r="E7" s="7" t="s">
        <v>2323</v>
      </c>
      <c r="F7" s="3" t="str">
        <f>HYPERLINK("https://stat100.ameba.jp/tnk47/ratio20/illustrations/card/ill_203643_kanagashira03.jpg", "■")</f>
        <v>■</v>
      </c>
      <c r="G7" s="2" t="s">
        <v>2332</v>
      </c>
      <c r="H7" s="2" t="s">
        <v>2273</v>
      </c>
      <c r="I7" s="2" t="s">
        <v>2267</v>
      </c>
      <c r="J7" s="2">
        <v>20</v>
      </c>
      <c r="K7" s="2">
        <v>34576</v>
      </c>
      <c r="L7" s="2">
        <v>41584</v>
      </c>
      <c r="M7" s="2" t="s">
        <v>2322</v>
      </c>
      <c r="N7" s="2" t="s">
        <v>2345</v>
      </c>
      <c r="O7" s="11"/>
    </row>
    <row r="8" spans="1:15">
      <c r="A8" s="2">
        <v>203633</v>
      </c>
      <c r="B8" s="2" t="s">
        <v>10</v>
      </c>
      <c r="C8" s="2" t="s">
        <v>1354</v>
      </c>
      <c r="D8" s="2" t="s">
        <v>7</v>
      </c>
      <c r="E8" s="7" t="s">
        <v>2325</v>
      </c>
      <c r="F8" s="3" t="str">
        <f>HYPERLINK("https://stat100.ameba.jp/tnk47/ratio20/illustrations/card/ill_203633_onikkochan03.jpg", "■")</f>
        <v>■</v>
      </c>
      <c r="G8" s="2" t="s">
        <v>2336</v>
      </c>
      <c r="H8" s="2" t="s">
        <v>1791</v>
      </c>
      <c r="I8" s="2" t="s">
        <v>2268</v>
      </c>
      <c r="J8" s="2">
        <v>16</v>
      </c>
      <c r="K8" s="2">
        <v>33267</v>
      </c>
      <c r="L8" s="2">
        <v>27660</v>
      </c>
      <c r="M8" s="2" t="s">
        <v>2324</v>
      </c>
      <c r="N8" s="2" t="s">
        <v>141</v>
      </c>
      <c r="O8" s="11"/>
    </row>
    <row r="9" spans="1:15">
      <c r="A9" s="2">
        <v>203653</v>
      </c>
      <c r="B9" s="2" t="s">
        <v>13</v>
      </c>
      <c r="C9" s="2" t="s">
        <v>146</v>
      </c>
      <c r="D9" s="2" t="s">
        <v>128</v>
      </c>
      <c r="E9" s="7" t="s">
        <v>2327</v>
      </c>
      <c r="F9" s="3" t="str">
        <f>HYPERLINK("https://stat100.ameba.jp/tnk47/ratio20/illustrations/card/ill_203653_bakumatsuirohahime03.jpg", "■")</f>
        <v>■</v>
      </c>
      <c r="G9" s="2" t="s">
        <v>2335</v>
      </c>
      <c r="H9" s="2" t="s">
        <v>122</v>
      </c>
      <c r="I9" s="2" t="s">
        <v>2269</v>
      </c>
      <c r="J9" s="2">
        <v>14</v>
      </c>
      <c r="K9" s="2">
        <v>17623</v>
      </c>
      <c r="L9" s="2">
        <v>14800</v>
      </c>
      <c r="M9" s="2" t="s">
        <v>2326</v>
      </c>
      <c r="N9" s="2" t="s">
        <v>112</v>
      </c>
      <c r="O9" s="11"/>
    </row>
    <row r="10" spans="1:15">
      <c r="A10" s="2">
        <v>203663</v>
      </c>
      <c r="B10" s="2" t="s">
        <v>13</v>
      </c>
      <c r="C10" s="2" t="s">
        <v>1884</v>
      </c>
      <c r="D10" s="2" t="s">
        <v>114</v>
      </c>
      <c r="E10" s="7" t="s">
        <v>2329</v>
      </c>
      <c r="F10" s="3" t="str">
        <f>HYPERLINK("https://stat100.ameba.jp/tnk47/ratio20/illustrations/card/ill_203663_niwanagahide03.jpg", "■")</f>
        <v>■</v>
      </c>
      <c r="G10" s="2" t="s">
        <v>2333</v>
      </c>
      <c r="H10" s="2" t="s">
        <v>122</v>
      </c>
      <c r="I10" s="2" t="s">
        <v>2076</v>
      </c>
      <c r="J10" s="2">
        <v>14</v>
      </c>
      <c r="K10" s="2">
        <v>14800</v>
      </c>
      <c r="L10" s="2">
        <v>17623</v>
      </c>
      <c r="M10" s="2" t="s">
        <v>2328</v>
      </c>
      <c r="N10" s="2" t="s">
        <v>1837</v>
      </c>
      <c r="O10" s="11"/>
    </row>
    <row r="11" spans="1:15">
      <c r="A11" s="2">
        <v>203673</v>
      </c>
      <c r="B11" s="2" t="s">
        <v>13</v>
      </c>
      <c r="C11" s="2" t="s">
        <v>299</v>
      </c>
      <c r="D11" s="2" t="s">
        <v>7</v>
      </c>
      <c r="E11" s="7" t="s">
        <v>2331</v>
      </c>
      <c r="F11" s="3" t="str">
        <f>HYPERLINK("https://stat100.ameba.jp/tnk47/ratio20/illustrations/card/ill_203673_kubikireuma03.jpg", "■")</f>
        <v>■</v>
      </c>
      <c r="G11" s="2" t="s">
        <v>2334</v>
      </c>
      <c r="H11" s="2" t="s">
        <v>122</v>
      </c>
      <c r="I11" s="2" t="s">
        <v>2076</v>
      </c>
      <c r="J11" s="2">
        <v>14</v>
      </c>
      <c r="K11" s="2">
        <v>17623</v>
      </c>
      <c r="L11" s="2">
        <v>14800</v>
      </c>
      <c r="M11" s="2" t="s">
        <v>2330</v>
      </c>
      <c r="N11" s="2" t="s">
        <v>1471</v>
      </c>
      <c r="O11" s="11"/>
    </row>
    <row r="13" spans="1:15">
      <c r="A13" t="s">
        <v>1858</v>
      </c>
    </row>
    <row r="14" spans="1:15">
      <c r="A14" s="2">
        <v>94763</v>
      </c>
      <c r="B14" s="2" t="s">
        <v>1450</v>
      </c>
      <c r="C14" s="2" t="s">
        <v>2</v>
      </c>
      <c r="D14" s="2" t="s">
        <v>118</v>
      </c>
      <c r="E14" s="7" t="s">
        <v>2150</v>
      </c>
      <c r="F14" s="3" t="str">
        <f>HYPERLINK("https://stat100.ameba.jp/tnk47/ratio20/illustrations/card/ill_94763_sosenkyotenshoinatsuhime03.jpg", "■")</f>
        <v>■</v>
      </c>
      <c r="G14" s="2" t="s">
        <v>2174</v>
      </c>
      <c r="J14" s="2">
        <v>20</v>
      </c>
      <c r="K14" s="2" t="s">
        <v>920</v>
      </c>
      <c r="L14" s="2" t="s">
        <v>920</v>
      </c>
      <c r="M14" s="2" t="s">
        <v>2164</v>
      </c>
      <c r="N14" s="2" t="s">
        <v>2209</v>
      </c>
    </row>
    <row r="15" spans="1:15">
      <c r="A15" s="2">
        <v>81033</v>
      </c>
      <c r="B15" s="2" t="s">
        <v>726</v>
      </c>
      <c r="C15" s="2" t="s">
        <v>92</v>
      </c>
      <c r="D15" s="2" t="s">
        <v>93</v>
      </c>
      <c r="E15" s="2" t="s">
        <v>2151</v>
      </c>
      <c r="F15" s="3" t="str">
        <f>HYPERLINK("https://stat100.ameba.jp/tnk47/ratio20/illustrations/card/ill_81033_sakasuibarakiyanki03.jpg", "■")</f>
        <v>■</v>
      </c>
      <c r="G15" s="2" t="s">
        <v>820</v>
      </c>
      <c r="I15" s="2" t="str">
        <f>'1905'!I3</f>
        <v>15+13+(15+14)</v>
      </c>
      <c r="J15" s="2">
        <v>20</v>
      </c>
      <c r="K15" s="2" t="s">
        <v>920</v>
      </c>
      <c r="L15" s="2" t="s">
        <v>920</v>
      </c>
      <c r="M15" s="2" t="s">
        <v>663</v>
      </c>
      <c r="N15" s="2" t="s">
        <v>1048</v>
      </c>
      <c r="O15" s="2" t="s">
        <v>2165</v>
      </c>
    </row>
    <row r="16" spans="1:15">
      <c r="A16" s="2">
        <v>81633</v>
      </c>
      <c r="B16" s="2" t="s">
        <v>726</v>
      </c>
      <c r="C16" s="2" t="s">
        <v>92</v>
      </c>
      <c r="D16" s="2" t="s">
        <v>128</v>
      </c>
      <c r="E16" s="2" t="s">
        <v>2152</v>
      </c>
      <c r="F16" s="3" t="str">
        <f>HYPERLINK("https://stat100.ameba.jp/tnk47/ratio20/illustrations/card/ill_81633_amehimenogyakushunohime03.jpg", "■")</f>
        <v>■</v>
      </c>
      <c r="G16" s="2" t="s">
        <v>855</v>
      </c>
      <c r="I16" s="2" t="str">
        <f>'1906'!I3</f>
        <v>倉庫行き</v>
      </c>
      <c r="J16" s="2">
        <v>20</v>
      </c>
      <c r="K16" s="2" t="s">
        <v>920</v>
      </c>
      <c r="L16" s="2" t="s">
        <v>920</v>
      </c>
      <c r="M16" s="2" t="s">
        <v>680</v>
      </c>
      <c r="N16" s="2" t="s">
        <v>978</v>
      </c>
      <c r="O16" s="17" t="s">
        <v>2166</v>
      </c>
    </row>
    <row r="17" spans="1:15">
      <c r="A17" s="2">
        <v>82273</v>
      </c>
      <c r="B17" s="2" t="s">
        <v>726</v>
      </c>
      <c r="C17" s="2" t="s">
        <v>2</v>
      </c>
      <c r="D17" s="2" t="s">
        <v>53</v>
      </c>
      <c r="E17" s="7" t="s">
        <v>2153</v>
      </c>
      <c r="F17" s="3" t="str">
        <f>HYPERLINK("https://stat100.ameba.jp/tnk47/ratio20/illustrations/card/ill_82273_tanabatatoyamaburakku03.jpg", "■")</f>
        <v>■</v>
      </c>
      <c r="G17" s="2" t="s">
        <v>734</v>
      </c>
      <c r="I17" s="2" t="str">
        <f>'1907'!I5</f>
        <v>19+16+(17+16)</v>
      </c>
      <c r="J17" s="2">
        <v>20</v>
      </c>
      <c r="K17" s="2" t="s">
        <v>920</v>
      </c>
      <c r="L17" s="2" t="s">
        <v>920</v>
      </c>
      <c r="M17" s="2" t="s">
        <v>707</v>
      </c>
      <c r="N17" s="2" t="s">
        <v>39</v>
      </c>
      <c r="O17" s="17" t="s">
        <v>2167</v>
      </c>
    </row>
    <row r="18" spans="1:15">
      <c r="A18" s="2">
        <v>82813</v>
      </c>
      <c r="B18" s="2" t="s">
        <v>726</v>
      </c>
      <c r="C18" s="2" t="s">
        <v>92</v>
      </c>
      <c r="D18" s="2" t="s">
        <v>7</v>
      </c>
      <c r="E18" s="7" t="s">
        <v>2154</v>
      </c>
      <c r="F18" s="3" t="str">
        <f>HYPERLINK("https://stat100.ameba.jp/tnk47/ratio20/illustrations/card/ill_82813_kyofunobyotoumizato03.jpg", "■")</f>
        <v>■</v>
      </c>
      <c r="G18" s="2" t="s">
        <v>746</v>
      </c>
      <c r="I18" s="2" t="str">
        <f>'1908'!I3</f>
        <v>倉庫行き</v>
      </c>
      <c r="J18" s="2">
        <v>20</v>
      </c>
      <c r="K18" s="2" t="s">
        <v>920</v>
      </c>
      <c r="L18" s="2" t="s">
        <v>920</v>
      </c>
      <c r="M18" s="2" t="s">
        <v>739</v>
      </c>
      <c r="N18" s="2" t="s">
        <v>740</v>
      </c>
      <c r="O18" s="17" t="s">
        <v>2172</v>
      </c>
    </row>
    <row r="19" spans="1:15">
      <c r="A19" s="2">
        <v>83403</v>
      </c>
      <c r="B19" s="2" t="s">
        <v>726</v>
      </c>
      <c r="C19" s="2" t="s">
        <v>92</v>
      </c>
      <c r="D19" s="2" t="s">
        <v>114</v>
      </c>
      <c r="E19" s="7" t="s">
        <v>2155</v>
      </c>
      <c r="F19" s="3" t="str">
        <f>HYPERLINK("https://stat100.ameba.jp/tnk47/ratio20/illustrations/card/ill_83403_yuenchihazadosoyoshitoshi03.jpg", "■")</f>
        <v>■</v>
      </c>
      <c r="G19" s="2" t="s">
        <v>793</v>
      </c>
      <c r="I19" s="2" t="str">
        <f>'1909'!I5</f>
        <v>20+18+(19+18),16</v>
      </c>
      <c r="J19" s="2">
        <v>20</v>
      </c>
      <c r="K19" s="2" t="s">
        <v>920</v>
      </c>
      <c r="L19" s="2" t="s">
        <v>920</v>
      </c>
      <c r="M19" s="2" t="s">
        <v>770</v>
      </c>
      <c r="N19" s="2" t="s">
        <v>1056</v>
      </c>
      <c r="O19" s="17" t="s">
        <v>2168</v>
      </c>
    </row>
    <row r="20" spans="1:15">
      <c r="A20" s="2">
        <v>84053</v>
      </c>
      <c r="B20" s="2" t="s">
        <v>726</v>
      </c>
      <c r="C20" s="2" t="s">
        <v>2</v>
      </c>
      <c r="D20" s="2" t="s">
        <v>154</v>
      </c>
      <c r="E20" s="7" t="s">
        <v>2156</v>
      </c>
      <c r="F20" s="3" t="str">
        <f>HYPERLINK("https://stat100.ameba.jp/tnk47/ratio20/illustrations/card/ill_84053_yokaitaisenjamegami03.jpg", "■")</f>
        <v>■</v>
      </c>
      <c r="G20" s="2" t="s">
        <v>801</v>
      </c>
      <c r="I20" s="2" t="str">
        <f>'1910'!I3</f>
        <v>倉庫行き</v>
      </c>
      <c r="J20" s="2">
        <v>20</v>
      </c>
      <c r="K20" s="2" t="s">
        <v>920</v>
      </c>
      <c r="L20" s="2" t="s">
        <v>920</v>
      </c>
      <c r="M20" s="2" t="s">
        <v>800</v>
      </c>
      <c r="N20" s="2" t="s">
        <v>1061</v>
      </c>
      <c r="O20" s="17" t="s">
        <v>2173</v>
      </c>
    </row>
    <row r="21" spans="1:15">
      <c r="A21" s="2">
        <v>81043</v>
      </c>
      <c r="B21" s="2" t="s">
        <v>4</v>
      </c>
      <c r="C21" s="2" t="s">
        <v>98</v>
      </c>
      <c r="D21" s="2" t="s">
        <v>93</v>
      </c>
      <c r="E21" s="2" t="s">
        <v>2157</v>
      </c>
      <c r="F21" s="3" t="str">
        <f>HYPERLINK("https://stat100.ameba.jp/tnk47/ratio20/illustrations/card/ill_81043_tsukinowaguma03.jpg", "■")</f>
        <v>■</v>
      </c>
      <c r="G21" s="2" t="s">
        <v>721</v>
      </c>
      <c r="H21" s="2" t="s">
        <v>1560</v>
      </c>
      <c r="I21" s="2" t="s">
        <v>2264</v>
      </c>
      <c r="J21" s="2">
        <v>20</v>
      </c>
      <c r="K21" s="2" t="s">
        <v>920</v>
      </c>
      <c r="L21" s="2" t="s">
        <v>920</v>
      </c>
      <c r="M21" s="2" t="s">
        <v>665</v>
      </c>
      <c r="N21" s="2" t="s">
        <v>976</v>
      </c>
      <c r="O21" s="2" t="s">
        <v>2165</v>
      </c>
    </row>
    <row r="22" spans="1:15">
      <c r="A22" s="2">
        <v>81643</v>
      </c>
      <c r="B22" s="2" t="s">
        <v>4</v>
      </c>
      <c r="C22" s="2" t="s">
        <v>103</v>
      </c>
      <c r="D22" s="2" t="s">
        <v>128</v>
      </c>
      <c r="E22" s="7" t="s">
        <v>2158</v>
      </c>
      <c r="F22" s="3" t="str">
        <f>HYPERLINK("https://stat100.ameba.jp/tnk47/ratio20/illustrations/card/ill_81643_orurinokata03.jpg", "■")</f>
        <v>■</v>
      </c>
      <c r="G22" s="2" t="s">
        <v>853</v>
      </c>
      <c r="I22" s="2" t="s">
        <v>2171</v>
      </c>
      <c r="J22" s="2">
        <v>20</v>
      </c>
      <c r="K22" s="2" t="s">
        <v>920</v>
      </c>
      <c r="L22" s="2" t="s">
        <v>920</v>
      </c>
      <c r="M22" s="2" t="s">
        <v>683</v>
      </c>
      <c r="N22" s="2" t="s">
        <v>981</v>
      </c>
      <c r="O22" s="17" t="s">
        <v>2166</v>
      </c>
    </row>
    <row r="23" spans="1:15">
      <c r="A23" s="2">
        <v>73613</v>
      </c>
      <c r="B23" s="2" t="s">
        <v>4</v>
      </c>
      <c r="C23" s="2" t="s">
        <v>6</v>
      </c>
      <c r="D23" s="2" t="s">
        <v>154</v>
      </c>
      <c r="E23" s="7" t="s">
        <v>160</v>
      </c>
      <c r="F23" s="3" t="str">
        <f>HYPERLINK("https://stat100.ameba.jp/tnk47/ratio20/illustrations/card/ill_73613_futamatatonneru03.jpg", "■")</f>
        <v>■</v>
      </c>
      <c r="G23" s="2" t="s">
        <v>521</v>
      </c>
      <c r="I23" s="2" t="s">
        <v>2171</v>
      </c>
      <c r="J23" s="2">
        <v>20</v>
      </c>
      <c r="K23" s="2" t="s">
        <v>920</v>
      </c>
      <c r="L23" s="2" t="s">
        <v>920</v>
      </c>
      <c r="M23" s="2" t="s">
        <v>159</v>
      </c>
      <c r="N23" s="2" t="s">
        <v>1007</v>
      </c>
      <c r="O23" s="17" t="s">
        <v>2167</v>
      </c>
    </row>
    <row r="24" spans="1:15">
      <c r="A24" s="2">
        <v>83413</v>
      </c>
      <c r="B24" s="2" t="s">
        <v>4</v>
      </c>
      <c r="C24" s="2" t="s">
        <v>32</v>
      </c>
      <c r="D24" s="2" t="s">
        <v>114</v>
      </c>
      <c r="E24" s="2" t="s">
        <v>2159</v>
      </c>
      <c r="F24" s="3" t="str">
        <f>HYPERLINK("https://stat100.ameba.jp/tnk47/ratio20/illustrations/card/ill_83413_viranzutoyotomihideyori03.jpg", "■")</f>
        <v>■</v>
      </c>
      <c r="G24" s="2" t="s">
        <v>791</v>
      </c>
      <c r="I24" s="2" t="s">
        <v>2171</v>
      </c>
      <c r="J24" s="2">
        <v>20</v>
      </c>
      <c r="K24" s="2" t="s">
        <v>920</v>
      </c>
      <c r="L24" s="2" t="s">
        <v>920</v>
      </c>
      <c r="M24" s="2" t="s">
        <v>774</v>
      </c>
      <c r="N24" s="2" t="s">
        <v>1058</v>
      </c>
      <c r="O24" s="17" t="s">
        <v>2168</v>
      </c>
    </row>
    <row r="25" spans="1:15">
      <c r="A25" s="2">
        <v>82283</v>
      </c>
      <c r="B25" s="2" t="s">
        <v>4</v>
      </c>
      <c r="C25" s="2" t="s">
        <v>8</v>
      </c>
      <c r="D25" s="2" t="s">
        <v>53</v>
      </c>
      <c r="E25" s="2" t="s">
        <v>2160</v>
      </c>
      <c r="F25" s="3" t="str">
        <f>HYPERLINK("https://stat100.ameba.jp/tnk47/ratio20/illustrations/card/ill_82283_uranaishioribuchan03.jpg", "■")</f>
        <v>■</v>
      </c>
      <c r="G25" s="2" t="s">
        <v>731</v>
      </c>
      <c r="I25" s="2" t="s">
        <v>2171</v>
      </c>
      <c r="J25" s="2">
        <v>20</v>
      </c>
      <c r="K25" s="2" t="s">
        <v>920</v>
      </c>
      <c r="L25" s="2" t="s">
        <v>920</v>
      </c>
      <c r="M25" s="2" t="s">
        <v>709</v>
      </c>
      <c r="N25" s="2" t="s">
        <v>991</v>
      </c>
      <c r="O25" s="17" t="s">
        <v>2169</v>
      </c>
    </row>
    <row r="26" spans="1:15">
      <c r="A26" s="2">
        <v>79883</v>
      </c>
      <c r="B26" s="2" t="s">
        <v>4</v>
      </c>
      <c r="C26" s="2" t="s">
        <v>634</v>
      </c>
      <c r="D26" s="2" t="s">
        <v>90</v>
      </c>
      <c r="E26" s="7" t="s">
        <v>2161</v>
      </c>
      <c r="F26" s="3" t="str">
        <f>HYPERLINK("https://stat100.ameba.jp/tnk47/ratio20/illustrations/card/ill_79883_kowakamai03.jpg", "■")</f>
        <v>■</v>
      </c>
      <c r="G26" s="2" t="s">
        <v>617</v>
      </c>
      <c r="I26" s="2" t="s">
        <v>2171</v>
      </c>
      <c r="J26" s="2">
        <v>20</v>
      </c>
      <c r="K26" s="2" t="s">
        <v>920</v>
      </c>
      <c r="L26" s="2" t="s">
        <v>920</v>
      </c>
      <c r="M26" s="2" t="s">
        <v>597</v>
      </c>
      <c r="N26" s="2" t="s">
        <v>1019</v>
      </c>
      <c r="O26" s="17" t="s">
        <v>2170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203773</v>
      </c>
      <c r="B31" s="2" t="s">
        <v>10</v>
      </c>
      <c r="C31" s="2" t="s">
        <v>103</v>
      </c>
      <c r="D31" s="2" t="s">
        <v>154</v>
      </c>
      <c r="E31" s="7" t="s">
        <v>2341</v>
      </c>
      <c r="F31" s="3" t="str">
        <f>HYPERLINK("https://stat100.ameba.jp/tnk47/ratio20/illustrations/card/ill_203773_hachimonjichogi03.jpg", "■")</f>
        <v>■</v>
      </c>
      <c r="G31" s="2" t="s">
        <v>2346</v>
      </c>
      <c r="H31" s="2" t="s">
        <v>926</v>
      </c>
      <c r="I31" s="2" t="s">
        <v>927</v>
      </c>
      <c r="J31" s="2">
        <v>14</v>
      </c>
      <c r="K31" s="2" t="s">
        <v>920</v>
      </c>
      <c r="L31" s="2" t="s">
        <v>920</v>
      </c>
      <c r="M31" s="2" t="s">
        <v>2342</v>
      </c>
      <c r="N31" s="2" t="s">
        <v>534</v>
      </c>
    </row>
  </sheetData>
  <phoneticPr fontId="1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26127-0975-4024-B7CF-2C7BEA4A113F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hidden="1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A3" s="2">
        <v>204303</v>
      </c>
      <c r="B3" s="2" t="s">
        <v>726</v>
      </c>
      <c r="C3" s="2" t="s">
        <v>92</v>
      </c>
      <c r="D3" s="2" t="s">
        <v>90</v>
      </c>
      <c r="E3" s="7" t="s">
        <v>2349</v>
      </c>
      <c r="F3" s="3" t="str">
        <f>HYPERLINK("https://stat100.ameba.jp/tnk47/ratio20/illustrations/card/ill_204303_dakuaidorufugurumayobi03.jpg", "■")</f>
        <v>■</v>
      </c>
      <c r="G3" s="14" t="s">
        <v>2377</v>
      </c>
      <c r="H3" s="2" t="s">
        <v>2378</v>
      </c>
      <c r="I3" s="2" t="s">
        <v>876</v>
      </c>
      <c r="J3" s="2">
        <v>22</v>
      </c>
      <c r="K3" s="2">
        <v>87305</v>
      </c>
      <c r="L3" s="2">
        <v>93913</v>
      </c>
      <c r="M3" s="2" t="s">
        <v>2348</v>
      </c>
      <c r="N3" s="2" t="s">
        <v>2383</v>
      </c>
      <c r="O3" s="11"/>
    </row>
    <row r="4" spans="1:15">
      <c r="A4" s="2">
        <v>204385</v>
      </c>
      <c r="B4" s="2" t="s">
        <v>726</v>
      </c>
      <c r="C4" s="2" t="s">
        <v>1910</v>
      </c>
      <c r="D4" s="2" t="s">
        <v>114</v>
      </c>
      <c r="E4" s="7" t="s">
        <v>2351</v>
      </c>
      <c r="F4" s="3" t="str">
        <f>HYPERLINK("https://stat100.ameba.jp/tnk47/ratio20/illustrations/card/ill_204385_waishatsuakaiteruko05.jpg", "■")</f>
        <v>■</v>
      </c>
      <c r="G4" s="2" t="s">
        <v>2376</v>
      </c>
      <c r="H4" s="2" t="s">
        <v>2375</v>
      </c>
      <c r="I4" s="2" t="s">
        <v>2379</v>
      </c>
      <c r="J4" s="2">
        <v>18</v>
      </c>
      <c r="K4" s="2">
        <v>68335</v>
      </c>
      <c r="L4" s="2">
        <v>94385</v>
      </c>
      <c r="M4" s="2" t="s">
        <v>2350</v>
      </c>
      <c r="N4" s="2" t="s">
        <v>2384</v>
      </c>
      <c r="O4" s="11"/>
    </row>
    <row r="5" spans="1:15">
      <c r="A5" s="2">
        <v>204313</v>
      </c>
      <c r="B5" s="2" t="s">
        <v>4</v>
      </c>
      <c r="C5" s="2" t="s">
        <v>98</v>
      </c>
      <c r="D5" s="2" t="s">
        <v>53</v>
      </c>
      <c r="E5" s="7" t="s">
        <v>2353</v>
      </c>
      <c r="F5" s="3" t="str">
        <f>HYPERLINK("https://stat100.ameba.jp/tnk47/ratio20/illustrations/card/ill_204313_aidorugyutammusume03.jpg", "■")</f>
        <v>■</v>
      </c>
      <c r="G5" s="2" t="s">
        <v>2374</v>
      </c>
      <c r="H5" s="2" t="s">
        <v>2372</v>
      </c>
      <c r="I5" s="2" t="s">
        <v>2373</v>
      </c>
      <c r="J5" s="2">
        <v>18</v>
      </c>
      <c r="K5" s="2">
        <v>53352</v>
      </c>
      <c r="L5" s="2">
        <v>48391</v>
      </c>
      <c r="M5" s="2" t="s">
        <v>2352</v>
      </c>
      <c r="N5" s="2" t="s">
        <v>1063</v>
      </c>
      <c r="O5" s="11"/>
    </row>
    <row r="6" spans="1:15">
      <c r="A6" s="2">
        <v>204323</v>
      </c>
      <c r="B6" s="2" t="s">
        <v>4</v>
      </c>
      <c r="C6" s="2" t="s">
        <v>138</v>
      </c>
      <c r="D6" s="2" t="s">
        <v>118</v>
      </c>
      <c r="E6" s="7" t="s">
        <v>2355</v>
      </c>
      <c r="F6" s="3" t="str">
        <f>HYPERLINK("https://stat100.ameba.jp/tnk47/ratio20/illustrations/card/ill_204323_bandoennoodunu03.jpg", "■")</f>
        <v>■</v>
      </c>
      <c r="G6" s="2" t="s">
        <v>2371</v>
      </c>
      <c r="H6" s="2" t="s">
        <v>2272</v>
      </c>
      <c r="I6" s="2" t="s">
        <v>2266</v>
      </c>
      <c r="J6" s="2">
        <v>18</v>
      </c>
      <c r="K6" s="2">
        <v>48391</v>
      </c>
      <c r="L6" s="2">
        <v>53352</v>
      </c>
      <c r="M6" s="2" t="s">
        <v>2354</v>
      </c>
      <c r="N6" s="2" t="s">
        <v>1064</v>
      </c>
      <c r="O6" s="11"/>
    </row>
    <row r="7" spans="1:15">
      <c r="A7" s="2">
        <v>204343</v>
      </c>
      <c r="B7" s="2" t="s">
        <v>10</v>
      </c>
      <c r="C7" s="2" t="s">
        <v>103</v>
      </c>
      <c r="D7" s="2" t="s">
        <v>93</v>
      </c>
      <c r="E7" s="7" t="s">
        <v>2357</v>
      </c>
      <c r="F7" s="3" t="str">
        <f>HYPERLINK("https://stat100.ameba.jp/tnk47/ratio20/illustrations/card/ill_204343_ibekonyokohamaserachan03.jpg", "■")</f>
        <v>■</v>
      </c>
      <c r="G7" s="2" t="s">
        <v>2369</v>
      </c>
      <c r="H7" s="2" t="s">
        <v>2273</v>
      </c>
      <c r="I7" s="2" t="s">
        <v>2267</v>
      </c>
      <c r="J7" s="2">
        <v>20</v>
      </c>
      <c r="K7" s="2">
        <v>34576</v>
      </c>
      <c r="L7" s="2">
        <v>41584</v>
      </c>
      <c r="M7" s="2" t="s">
        <v>2356</v>
      </c>
      <c r="N7" s="2" t="s">
        <v>2385</v>
      </c>
      <c r="O7" s="11"/>
    </row>
    <row r="8" spans="1:15">
      <c r="A8" s="2">
        <v>204333</v>
      </c>
      <c r="B8" s="2" t="s">
        <v>10</v>
      </c>
      <c r="C8" s="2" t="s">
        <v>1354</v>
      </c>
      <c r="D8" s="2" t="s">
        <v>154</v>
      </c>
      <c r="E8" s="7" t="s">
        <v>2359</v>
      </c>
      <c r="F8" s="3" t="str">
        <f>HYPERLINK("https://stat100.ameba.jp/tnk47/ratio20/illustrations/card/ill_204333_tsutsuhime03.jpg", "■")</f>
        <v>■</v>
      </c>
      <c r="G8" s="2" t="s">
        <v>2370</v>
      </c>
      <c r="H8" s="2" t="s">
        <v>1791</v>
      </c>
      <c r="I8" s="2" t="s">
        <v>2268</v>
      </c>
      <c r="J8" s="2">
        <v>16</v>
      </c>
      <c r="K8" s="2">
        <v>33267</v>
      </c>
      <c r="L8" s="2">
        <v>27660</v>
      </c>
      <c r="M8" s="2" t="s">
        <v>2358</v>
      </c>
      <c r="N8" s="2" t="s">
        <v>534</v>
      </c>
      <c r="O8" s="11"/>
    </row>
    <row r="9" spans="1:15">
      <c r="A9" s="2">
        <v>204353</v>
      </c>
      <c r="B9" s="2" t="s">
        <v>13</v>
      </c>
      <c r="C9" s="2" t="s">
        <v>1648</v>
      </c>
      <c r="D9" s="2" t="s">
        <v>90</v>
      </c>
      <c r="E9" s="7" t="s">
        <v>2361</v>
      </c>
      <c r="F9" s="3" t="str">
        <f>HYPERLINK("https://stat100.ameba.jp/tnk47/ratio20/illustrations/card/ill_204353_kuroyurinosei03.jpg", "■")</f>
        <v>■</v>
      </c>
      <c r="G9" s="2" t="s">
        <v>2367</v>
      </c>
      <c r="H9" s="2" t="s">
        <v>122</v>
      </c>
      <c r="I9" s="2" t="s">
        <v>2301</v>
      </c>
      <c r="J9" s="2">
        <v>14</v>
      </c>
      <c r="K9" s="2">
        <v>17623</v>
      </c>
      <c r="L9" s="2">
        <v>14800</v>
      </c>
      <c r="M9" s="2" t="s">
        <v>2360</v>
      </c>
      <c r="N9" s="2" t="s">
        <v>72</v>
      </c>
      <c r="O9" s="11"/>
    </row>
    <row r="10" spans="1:15">
      <c r="A10" s="2">
        <v>204363</v>
      </c>
      <c r="B10" s="2" t="s">
        <v>13</v>
      </c>
      <c r="C10" s="2" t="s">
        <v>142</v>
      </c>
      <c r="D10" s="2" t="s">
        <v>154</v>
      </c>
      <c r="E10" s="7" t="s">
        <v>2363</v>
      </c>
      <c r="F10" s="3" t="str">
        <f>HYPERLINK("https://stat100.ameba.jp/tnk47/ratio20/illustrations/card/ill_204363_amanouzume03.jpg", "■")</f>
        <v>■</v>
      </c>
      <c r="G10" s="2" t="s">
        <v>2366</v>
      </c>
      <c r="H10" s="2" t="s">
        <v>122</v>
      </c>
      <c r="I10" s="2" t="s">
        <v>2076</v>
      </c>
      <c r="J10" s="2">
        <v>14</v>
      </c>
      <c r="K10" s="2">
        <v>14800</v>
      </c>
      <c r="L10" s="2">
        <v>17623</v>
      </c>
      <c r="M10" s="2" t="s">
        <v>2362</v>
      </c>
      <c r="N10" s="2" t="s">
        <v>70</v>
      </c>
      <c r="O10" s="11"/>
    </row>
    <row r="11" spans="1:15">
      <c r="A11" s="2">
        <v>204373</v>
      </c>
      <c r="B11" s="2" t="s">
        <v>13</v>
      </c>
      <c r="C11" s="2" t="s">
        <v>1354</v>
      </c>
      <c r="D11" s="2" t="s">
        <v>93</v>
      </c>
      <c r="E11" s="7" t="s">
        <v>2365</v>
      </c>
      <c r="F11" s="3" t="str">
        <f>HYPERLINK("https://stat100.ameba.jp/tnk47/ratio20/illustrations/card/ill_204373_satsukichan03.jpg", "■")</f>
        <v>■</v>
      </c>
      <c r="G11" s="2" t="s">
        <v>2368</v>
      </c>
      <c r="H11" s="2" t="s">
        <v>122</v>
      </c>
      <c r="I11" s="2" t="s">
        <v>2076</v>
      </c>
      <c r="J11" s="2">
        <v>14</v>
      </c>
      <c r="K11" s="2">
        <v>17623</v>
      </c>
      <c r="L11" s="2">
        <v>14800</v>
      </c>
      <c r="M11" s="2" t="s">
        <v>2364</v>
      </c>
      <c r="N11" s="2" t="s">
        <v>197</v>
      </c>
      <c r="O11" s="11"/>
    </row>
    <row r="13" spans="1:15">
      <c r="A13" t="s">
        <v>1858</v>
      </c>
    </row>
    <row r="14" spans="1:15">
      <c r="A14" s="2">
        <v>94763</v>
      </c>
      <c r="B14" s="2" t="s">
        <v>1450</v>
      </c>
      <c r="C14" s="2" t="s">
        <v>2</v>
      </c>
      <c r="D14" s="2" t="s">
        <v>118</v>
      </c>
      <c r="E14" s="7" t="s">
        <v>2150</v>
      </c>
      <c r="F14" s="3" t="str">
        <f>HYPERLINK("https://stat100.ameba.jp/tnk47/ratio20/illustrations/card/ill_94763_sosenkyotenshoinatsuhime03.jpg", "■")</f>
        <v>■</v>
      </c>
      <c r="G14" s="2" t="s">
        <v>2174</v>
      </c>
      <c r="J14" s="2">
        <v>20</v>
      </c>
      <c r="K14" s="2" t="s">
        <v>920</v>
      </c>
      <c r="L14" s="2" t="s">
        <v>920</v>
      </c>
      <c r="M14" s="2" t="s">
        <v>2164</v>
      </c>
      <c r="N14" s="2" t="s">
        <v>2209</v>
      </c>
    </row>
    <row r="15" spans="1:15">
      <c r="A15" s="2">
        <v>81033</v>
      </c>
      <c r="B15" s="2" t="s">
        <v>726</v>
      </c>
      <c r="C15" s="2" t="s">
        <v>92</v>
      </c>
      <c r="D15" s="2" t="s">
        <v>93</v>
      </c>
      <c r="E15" s="2" t="s">
        <v>2151</v>
      </c>
      <c r="F15" s="3" t="str">
        <f>HYPERLINK("https://stat100.ameba.jp/tnk47/ratio20/illustrations/card/ill_81033_sakasuibarakiyanki03.jpg", "■")</f>
        <v>■</v>
      </c>
      <c r="G15" s="2" t="s">
        <v>820</v>
      </c>
      <c r="I15" s="2" t="str">
        <f>'1905'!I3</f>
        <v>15+13+(15+14)</v>
      </c>
      <c r="J15" s="2">
        <v>20</v>
      </c>
      <c r="K15" s="2" t="s">
        <v>920</v>
      </c>
      <c r="L15" s="2" t="s">
        <v>920</v>
      </c>
      <c r="M15" s="2" t="s">
        <v>663</v>
      </c>
      <c r="N15" s="2" t="s">
        <v>1048</v>
      </c>
      <c r="O15" s="2" t="s">
        <v>2165</v>
      </c>
    </row>
    <row r="16" spans="1:15">
      <c r="A16" s="2">
        <v>81633</v>
      </c>
      <c r="B16" s="2" t="s">
        <v>726</v>
      </c>
      <c r="C16" s="2" t="s">
        <v>92</v>
      </c>
      <c r="D16" s="2" t="s">
        <v>128</v>
      </c>
      <c r="E16" s="2" t="s">
        <v>2152</v>
      </c>
      <c r="F16" s="3" t="str">
        <f>HYPERLINK("https://stat100.ameba.jp/tnk47/ratio20/illustrations/card/ill_81633_amehimenogyakushunohime03.jpg", "■")</f>
        <v>■</v>
      </c>
      <c r="G16" s="2" t="s">
        <v>855</v>
      </c>
      <c r="I16" s="2" t="str">
        <f>'1906'!I3</f>
        <v>倉庫行き</v>
      </c>
      <c r="J16" s="2">
        <v>20</v>
      </c>
      <c r="K16" s="2" t="s">
        <v>920</v>
      </c>
      <c r="L16" s="2" t="s">
        <v>920</v>
      </c>
      <c r="M16" s="2" t="s">
        <v>680</v>
      </c>
      <c r="N16" s="2" t="s">
        <v>978</v>
      </c>
      <c r="O16" s="17" t="s">
        <v>2166</v>
      </c>
    </row>
    <row r="17" spans="1:15">
      <c r="A17" s="2">
        <v>82273</v>
      </c>
      <c r="B17" s="2" t="s">
        <v>726</v>
      </c>
      <c r="C17" s="2" t="s">
        <v>2</v>
      </c>
      <c r="D17" s="2" t="s">
        <v>53</v>
      </c>
      <c r="E17" s="7" t="s">
        <v>2153</v>
      </c>
      <c r="F17" s="3" t="str">
        <f>HYPERLINK("https://stat100.ameba.jp/tnk47/ratio20/illustrations/card/ill_82273_tanabatatoyamaburakku03.jpg", "■")</f>
        <v>■</v>
      </c>
      <c r="G17" s="2" t="s">
        <v>734</v>
      </c>
      <c r="I17" s="2" t="str">
        <f>'1907'!I5</f>
        <v>19+16+(17+16)</v>
      </c>
      <c r="J17" s="2">
        <v>20</v>
      </c>
      <c r="K17" s="2" t="s">
        <v>920</v>
      </c>
      <c r="L17" s="2" t="s">
        <v>920</v>
      </c>
      <c r="M17" s="2" t="s">
        <v>707</v>
      </c>
      <c r="N17" s="2" t="s">
        <v>39</v>
      </c>
      <c r="O17" s="17" t="s">
        <v>2167</v>
      </c>
    </row>
    <row r="18" spans="1:15">
      <c r="A18" s="2">
        <v>82813</v>
      </c>
      <c r="B18" s="2" t="s">
        <v>726</v>
      </c>
      <c r="C18" s="2" t="s">
        <v>92</v>
      </c>
      <c r="D18" s="2" t="s">
        <v>7</v>
      </c>
      <c r="E18" s="7" t="s">
        <v>2154</v>
      </c>
      <c r="F18" s="3" t="str">
        <f>HYPERLINK("https://stat100.ameba.jp/tnk47/ratio20/illustrations/card/ill_82813_kyofunobyotoumizato03.jpg", "■")</f>
        <v>■</v>
      </c>
      <c r="G18" s="2" t="s">
        <v>746</v>
      </c>
      <c r="H18" s="2" t="s">
        <v>1560</v>
      </c>
      <c r="I18" s="2" t="str">
        <f>'1908'!I3</f>
        <v>倉庫行き</v>
      </c>
      <c r="J18" s="2">
        <v>20</v>
      </c>
      <c r="K18" s="2" t="s">
        <v>920</v>
      </c>
      <c r="L18" s="2" t="s">
        <v>920</v>
      </c>
      <c r="M18" s="2" t="s">
        <v>739</v>
      </c>
      <c r="N18" s="2" t="s">
        <v>740</v>
      </c>
      <c r="O18" s="17" t="s">
        <v>2172</v>
      </c>
    </row>
    <row r="19" spans="1:15">
      <c r="A19" s="2">
        <v>83403</v>
      </c>
      <c r="B19" s="2" t="s">
        <v>726</v>
      </c>
      <c r="C19" s="2" t="s">
        <v>92</v>
      </c>
      <c r="D19" s="2" t="s">
        <v>114</v>
      </c>
      <c r="E19" s="7" t="s">
        <v>2155</v>
      </c>
      <c r="F19" s="3" t="str">
        <f>HYPERLINK("https://stat100.ameba.jp/tnk47/ratio20/illustrations/card/ill_83403_yuenchihazadosoyoshitoshi03.jpg", "■")</f>
        <v>■</v>
      </c>
      <c r="G19" s="2" t="s">
        <v>793</v>
      </c>
      <c r="I19" s="2" t="str">
        <f>'1909'!I5</f>
        <v>20+18+(19+18),16</v>
      </c>
      <c r="J19" s="2">
        <v>20</v>
      </c>
      <c r="K19" s="2" t="s">
        <v>920</v>
      </c>
      <c r="L19" s="2" t="s">
        <v>920</v>
      </c>
      <c r="M19" s="2" t="s">
        <v>770</v>
      </c>
      <c r="N19" s="2" t="s">
        <v>1056</v>
      </c>
      <c r="O19" s="17" t="s">
        <v>2168</v>
      </c>
    </row>
    <row r="20" spans="1:15">
      <c r="A20" s="2">
        <v>84053</v>
      </c>
      <c r="B20" s="2" t="s">
        <v>726</v>
      </c>
      <c r="C20" s="2" t="s">
        <v>2</v>
      </c>
      <c r="D20" s="2" t="s">
        <v>154</v>
      </c>
      <c r="E20" s="7" t="s">
        <v>2156</v>
      </c>
      <c r="F20" s="3" t="str">
        <f>HYPERLINK("https://stat100.ameba.jp/tnk47/ratio20/illustrations/card/ill_84053_yokaitaisenjamegami03.jpg", "■")</f>
        <v>■</v>
      </c>
      <c r="G20" s="2" t="s">
        <v>801</v>
      </c>
      <c r="I20" s="2" t="str">
        <f>'1910'!I3</f>
        <v>倉庫行き</v>
      </c>
      <c r="J20" s="2">
        <v>20</v>
      </c>
      <c r="K20" s="2" t="s">
        <v>920</v>
      </c>
      <c r="L20" s="2" t="s">
        <v>920</v>
      </c>
      <c r="M20" s="2" t="s">
        <v>800</v>
      </c>
      <c r="N20" s="2" t="s">
        <v>1061</v>
      </c>
      <c r="O20" s="17" t="s">
        <v>2173</v>
      </c>
    </row>
    <row r="21" spans="1:15">
      <c r="A21" s="2">
        <v>81043</v>
      </c>
      <c r="B21" s="2" t="s">
        <v>4</v>
      </c>
      <c r="C21" s="2" t="s">
        <v>98</v>
      </c>
      <c r="D21" s="2" t="s">
        <v>93</v>
      </c>
      <c r="E21" s="2" t="s">
        <v>2157</v>
      </c>
      <c r="F21" s="3" t="str">
        <f>HYPERLINK("https://stat100.ameba.jp/tnk47/ratio20/illustrations/card/ill_81043_tsukinowaguma03.jpg", "■")</f>
        <v>■</v>
      </c>
      <c r="G21" s="2" t="s">
        <v>721</v>
      </c>
      <c r="I21" s="2" t="s">
        <v>2171</v>
      </c>
      <c r="J21" s="2">
        <v>20</v>
      </c>
      <c r="K21" s="2" t="s">
        <v>920</v>
      </c>
      <c r="L21" s="2" t="s">
        <v>920</v>
      </c>
      <c r="M21" s="2" t="s">
        <v>665</v>
      </c>
      <c r="N21" s="2" t="s">
        <v>976</v>
      </c>
      <c r="O21" s="2" t="s">
        <v>2165</v>
      </c>
    </row>
    <row r="22" spans="1:15">
      <c r="A22" s="2">
        <v>81643</v>
      </c>
      <c r="B22" s="2" t="s">
        <v>4</v>
      </c>
      <c r="C22" s="2" t="s">
        <v>103</v>
      </c>
      <c r="D22" s="2" t="s">
        <v>128</v>
      </c>
      <c r="E22" s="7" t="s">
        <v>2158</v>
      </c>
      <c r="F22" s="3" t="str">
        <f>HYPERLINK("https://stat100.ameba.jp/tnk47/ratio20/illustrations/card/ill_81643_orurinokata03.jpg", "■")</f>
        <v>■</v>
      </c>
      <c r="G22" s="2" t="s">
        <v>853</v>
      </c>
      <c r="I22" s="2" t="s">
        <v>2171</v>
      </c>
      <c r="J22" s="2">
        <v>20</v>
      </c>
      <c r="K22" s="2" t="s">
        <v>920</v>
      </c>
      <c r="L22" s="2" t="s">
        <v>920</v>
      </c>
      <c r="M22" s="2" t="s">
        <v>683</v>
      </c>
      <c r="N22" s="2" t="s">
        <v>981</v>
      </c>
      <c r="O22" s="17" t="s">
        <v>2166</v>
      </c>
    </row>
    <row r="23" spans="1:15">
      <c r="A23" s="2">
        <v>73613</v>
      </c>
      <c r="B23" s="2" t="s">
        <v>4</v>
      </c>
      <c r="C23" s="2" t="s">
        <v>6</v>
      </c>
      <c r="D23" s="2" t="s">
        <v>154</v>
      </c>
      <c r="E23" s="7" t="s">
        <v>160</v>
      </c>
      <c r="F23" s="3" t="str">
        <f>HYPERLINK("https://stat100.ameba.jp/tnk47/ratio20/illustrations/card/ill_73613_futamatatonneru03.jpg", "■")</f>
        <v>■</v>
      </c>
      <c r="G23" s="2" t="s">
        <v>521</v>
      </c>
      <c r="I23" s="2" t="s">
        <v>2171</v>
      </c>
      <c r="J23" s="2">
        <v>20</v>
      </c>
      <c r="K23" s="2" t="s">
        <v>920</v>
      </c>
      <c r="L23" s="2" t="s">
        <v>920</v>
      </c>
      <c r="M23" s="2" t="s">
        <v>159</v>
      </c>
      <c r="N23" s="2" t="s">
        <v>1007</v>
      </c>
      <c r="O23" s="17" t="s">
        <v>2167</v>
      </c>
    </row>
    <row r="24" spans="1:15">
      <c r="A24" s="2">
        <v>83413</v>
      </c>
      <c r="B24" s="2" t="s">
        <v>4</v>
      </c>
      <c r="C24" s="2" t="s">
        <v>32</v>
      </c>
      <c r="D24" s="2" t="s">
        <v>114</v>
      </c>
      <c r="E24" s="2" t="s">
        <v>2159</v>
      </c>
      <c r="F24" s="3" t="str">
        <f>HYPERLINK("https://stat100.ameba.jp/tnk47/ratio20/illustrations/card/ill_83413_viranzutoyotomihideyori03.jpg", "■")</f>
        <v>■</v>
      </c>
      <c r="G24" s="2" t="s">
        <v>791</v>
      </c>
      <c r="I24" s="2" t="s">
        <v>2171</v>
      </c>
      <c r="J24" s="2">
        <v>20</v>
      </c>
      <c r="K24" s="2" t="s">
        <v>920</v>
      </c>
      <c r="L24" s="2" t="s">
        <v>920</v>
      </c>
      <c r="M24" s="2" t="s">
        <v>774</v>
      </c>
      <c r="N24" s="2" t="s">
        <v>1058</v>
      </c>
      <c r="O24" s="17" t="s">
        <v>2168</v>
      </c>
    </row>
    <row r="25" spans="1:15">
      <c r="A25" s="2">
        <v>82283</v>
      </c>
      <c r="B25" s="2" t="s">
        <v>4</v>
      </c>
      <c r="C25" s="2" t="s">
        <v>8</v>
      </c>
      <c r="D25" s="2" t="s">
        <v>53</v>
      </c>
      <c r="E25" s="2" t="s">
        <v>2160</v>
      </c>
      <c r="F25" s="3" t="str">
        <f>HYPERLINK("https://stat100.ameba.jp/tnk47/ratio20/illustrations/card/ill_82283_uranaishioribuchan03.jpg", "■")</f>
        <v>■</v>
      </c>
      <c r="G25" s="2" t="s">
        <v>731</v>
      </c>
      <c r="I25" s="2" t="s">
        <v>2171</v>
      </c>
      <c r="J25" s="2">
        <v>20</v>
      </c>
      <c r="K25" s="2" t="s">
        <v>920</v>
      </c>
      <c r="L25" s="2" t="s">
        <v>920</v>
      </c>
      <c r="M25" s="2" t="s">
        <v>709</v>
      </c>
      <c r="N25" s="2" t="s">
        <v>991</v>
      </c>
      <c r="O25" s="17" t="s">
        <v>2169</v>
      </c>
    </row>
    <row r="26" spans="1:15">
      <c r="A26" s="2">
        <v>79883</v>
      </c>
      <c r="B26" s="2" t="s">
        <v>4</v>
      </c>
      <c r="C26" s="2" t="s">
        <v>634</v>
      </c>
      <c r="D26" s="2" t="s">
        <v>90</v>
      </c>
      <c r="E26" s="7" t="s">
        <v>2161</v>
      </c>
      <c r="F26" s="3" t="str">
        <f>HYPERLINK("https://stat100.ameba.jp/tnk47/ratio20/illustrations/card/ill_79883_kowakamai03.jpg", "■")</f>
        <v>■</v>
      </c>
      <c r="G26" s="2" t="s">
        <v>617</v>
      </c>
      <c r="I26" s="2" t="s">
        <v>2171</v>
      </c>
      <c r="J26" s="2">
        <v>20</v>
      </c>
      <c r="K26" s="2" t="s">
        <v>920</v>
      </c>
      <c r="L26" s="2" t="s">
        <v>920</v>
      </c>
      <c r="M26" s="2" t="s">
        <v>597</v>
      </c>
      <c r="N26" s="2" t="s">
        <v>1019</v>
      </c>
      <c r="O26" s="17" t="s">
        <v>2170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A31" s="2">
        <v>204473</v>
      </c>
      <c r="B31" s="2" t="s">
        <v>10</v>
      </c>
      <c r="C31" s="2" t="s">
        <v>12</v>
      </c>
      <c r="D31" s="2" t="s">
        <v>7</v>
      </c>
      <c r="E31" s="7" t="s">
        <v>2380</v>
      </c>
      <c r="F31" s="3" t="str">
        <f>HYPERLINK("https://stat100.ameba.jp/tnk47/ratio20/illustrations/card/ill_204473_hebimetaakakanaja03.jpg", "■")</f>
        <v>■</v>
      </c>
      <c r="G31" s="2" t="s">
        <v>2381</v>
      </c>
      <c r="H31" s="2" t="s">
        <v>926</v>
      </c>
      <c r="I31" s="2" t="s">
        <v>927</v>
      </c>
      <c r="J31" s="2">
        <v>14</v>
      </c>
      <c r="K31" s="2" t="s">
        <v>920</v>
      </c>
      <c r="L31" s="2" t="s">
        <v>920</v>
      </c>
      <c r="M31" s="2" t="s">
        <v>2382</v>
      </c>
      <c r="N31" s="2" t="s">
        <v>11</v>
      </c>
    </row>
  </sheetData>
  <phoneticPr fontId="1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40C6C-2C50-4780-8C80-182D5601FE5E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83203125" style="2" customWidth="1"/>
    <col min="11" max="12" width="7.08203125" style="2" customWidth="1"/>
    <col min="13" max="13" width="30.9140625" style="2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B3" s="2" t="s">
        <v>726</v>
      </c>
      <c r="C3" s="2" t="s">
        <v>92</v>
      </c>
      <c r="E3" s="7"/>
      <c r="F3" s="3" t="str">
        <f>HYPERLINK("https://stat100.ameba.jp/tnk47/ratio20/illustrations/card/ill_.jpg", "■")</f>
        <v>■</v>
      </c>
      <c r="H3" s="2" t="s">
        <v>2270</v>
      </c>
      <c r="I3" s="2" t="s">
        <v>876</v>
      </c>
      <c r="J3" s="2">
        <v>22</v>
      </c>
      <c r="O3" s="11"/>
    </row>
    <row r="4" spans="1:15">
      <c r="B4" s="2" t="s">
        <v>726</v>
      </c>
      <c r="C4" s="2" t="s">
        <v>1621</v>
      </c>
      <c r="E4" s="7"/>
      <c r="F4" s="3" t="str">
        <f t="shared" ref="F4:F11" si="0">HYPERLINK("https://stat100.ameba.jp/tnk47/ratio20/illustrations/card/ill_.jpg", "■")</f>
        <v>■</v>
      </c>
      <c r="H4" s="2" t="s">
        <v>2271</v>
      </c>
      <c r="I4" s="2" t="s">
        <v>1585</v>
      </c>
      <c r="J4" s="2">
        <v>18</v>
      </c>
      <c r="O4" s="11"/>
    </row>
    <row r="5" spans="1:15">
      <c r="B5" s="2" t="s">
        <v>4</v>
      </c>
      <c r="E5" s="7"/>
      <c r="F5" s="3" t="str">
        <f t="shared" si="0"/>
        <v>■</v>
      </c>
      <c r="I5" s="2" t="s">
        <v>2011</v>
      </c>
      <c r="J5" s="2">
        <v>18</v>
      </c>
      <c r="O5" s="11"/>
    </row>
    <row r="6" spans="1:15">
      <c r="B6" s="2" t="s">
        <v>4</v>
      </c>
      <c r="E6" s="7"/>
      <c r="F6" s="3" t="str">
        <f t="shared" si="0"/>
        <v>■</v>
      </c>
      <c r="H6" s="2" t="s">
        <v>2272</v>
      </c>
      <c r="I6" s="2" t="s">
        <v>2266</v>
      </c>
      <c r="J6" s="2">
        <v>18</v>
      </c>
      <c r="O6" s="11"/>
    </row>
    <row r="7" spans="1:15">
      <c r="B7" s="2" t="s">
        <v>10</v>
      </c>
      <c r="E7" s="7"/>
      <c r="F7" s="3" t="str">
        <f t="shared" si="0"/>
        <v>■</v>
      </c>
      <c r="H7" s="2" t="s">
        <v>2273</v>
      </c>
      <c r="I7" s="2" t="s">
        <v>2267</v>
      </c>
      <c r="J7" s="2">
        <v>20</v>
      </c>
      <c r="O7" s="11"/>
    </row>
    <row r="8" spans="1:15">
      <c r="B8" s="2" t="s">
        <v>10</v>
      </c>
      <c r="E8" s="7"/>
      <c r="F8" s="3" t="str">
        <f t="shared" si="0"/>
        <v>■</v>
      </c>
      <c r="H8" s="2" t="s">
        <v>1791</v>
      </c>
      <c r="I8" s="2" t="s">
        <v>2268</v>
      </c>
      <c r="J8" s="2">
        <v>16</v>
      </c>
      <c r="O8" s="11"/>
    </row>
    <row r="9" spans="1:15">
      <c r="B9" s="2" t="s">
        <v>13</v>
      </c>
      <c r="E9" s="7"/>
      <c r="F9" s="3" t="str">
        <f t="shared" si="0"/>
        <v>■</v>
      </c>
      <c r="H9" s="2" t="s">
        <v>122</v>
      </c>
      <c r="I9" s="2" t="s">
        <v>2269</v>
      </c>
      <c r="J9" s="2">
        <v>14</v>
      </c>
      <c r="O9" s="11"/>
    </row>
    <row r="10" spans="1:15">
      <c r="B10" s="2" t="s">
        <v>13</v>
      </c>
      <c r="E10" s="7"/>
      <c r="F10" s="3" t="str">
        <f t="shared" si="0"/>
        <v>■</v>
      </c>
      <c r="H10" s="2" t="s">
        <v>122</v>
      </c>
      <c r="I10" s="2" t="s">
        <v>2076</v>
      </c>
      <c r="J10" s="2">
        <v>14</v>
      </c>
      <c r="O10" s="11"/>
    </row>
    <row r="11" spans="1:15">
      <c r="B11" s="2" t="s">
        <v>13</v>
      </c>
      <c r="E11" s="7"/>
      <c r="F11" s="3" t="str">
        <f t="shared" si="0"/>
        <v>■</v>
      </c>
      <c r="H11" s="2" t="s">
        <v>122</v>
      </c>
      <c r="I11" s="2" t="s">
        <v>2076</v>
      </c>
      <c r="J11" s="2">
        <v>14</v>
      </c>
      <c r="O11" s="11"/>
    </row>
    <row r="13" spans="1:15">
      <c r="A13" t="s">
        <v>1858</v>
      </c>
    </row>
    <row r="14" spans="1:15">
      <c r="A14" s="2">
        <v>94763</v>
      </c>
      <c r="B14" s="2" t="s">
        <v>1450</v>
      </c>
      <c r="C14" s="2" t="s">
        <v>2</v>
      </c>
      <c r="D14" s="2" t="s">
        <v>118</v>
      </c>
      <c r="E14" s="7" t="s">
        <v>2150</v>
      </c>
      <c r="F14" s="3" t="str">
        <f>HYPERLINK("https://stat100.ameba.jp/tnk47/ratio20/illustrations/card/ill_94763_sosenkyotenshoinatsuhime03.jpg", "■")</f>
        <v>■</v>
      </c>
      <c r="G14" s="2" t="s">
        <v>2174</v>
      </c>
      <c r="J14" s="2">
        <v>20</v>
      </c>
      <c r="K14" s="2" t="s">
        <v>920</v>
      </c>
      <c r="L14" s="2" t="s">
        <v>920</v>
      </c>
      <c r="M14" s="2" t="s">
        <v>2164</v>
      </c>
      <c r="N14" s="2" t="s">
        <v>2209</v>
      </c>
    </row>
    <row r="15" spans="1:15">
      <c r="A15" s="2">
        <v>81033</v>
      </c>
      <c r="B15" s="2" t="s">
        <v>726</v>
      </c>
      <c r="C15" s="2" t="s">
        <v>92</v>
      </c>
      <c r="D15" s="2" t="s">
        <v>93</v>
      </c>
      <c r="E15" s="2" t="s">
        <v>2151</v>
      </c>
      <c r="F15" s="3" t="str">
        <f>HYPERLINK("https://stat100.ameba.jp/tnk47/ratio20/illustrations/card/ill_81033_sakasuibarakiyanki03.jpg", "■")</f>
        <v>■</v>
      </c>
      <c r="G15" s="2" t="s">
        <v>820</v>
      </c>
      <c r="I15" s="2" t="str">
        <f>'1905'!I3</f>
        <v>15+13+(15+14)</v>
      </c>
      <c r="J15" s="2">
        <v>20</v>
      </c>
      <c r="K15" s="2" t="s">
        <v>920</v>
      </c>
      <c r="L15" s="2" t="s">
        <v>920</v>
      </c>
      <c r="M15" s="2" t="s">
        <v>663</v>
      </c>
      <c r="N15" s="2" t="s">
        <v>1048</v>
      </c>
      <c r="O15" s="2" t="s">
        <v>2165</v>
      </c>
    </row>
    <row r="16" spans="1:15">
      <c r="A16" s="2">
        <v>81633</v>
      </c>
      <c r="B16" s="2" t="s">
        <v>726</v>
      </c>
      <c r="C16" s="2" t="s">
        <v>92</v>
      </c>
      <c r="D16" s="2" t="s">
        <v>128</v>
      </c>
      <c r="E16" s="2" t="s">
        <v>2152</v>
      </c>
      <c r="F16" s="3" t="str">
        <f>HYPERLINK("https://stat100.ameba.jp/tnk47/ratio20/illustrations/card/ill_81633_amehimenogyakushunohime03.jpg", "■")</f>
        <v>■</v>
      </c>
      <c r="G16" s="2" t="s">
        <v>855</v>
      </c>
      <c r="I16" s="2" t="str">
        <f>'1906'!I3</f>
        <v>倉庫行き</v>
      </c>
      <c r="J16" s="2">
        <v>20</v>
      </c>
      <c r="K16" s="2" t="s">
        <v>920</v>
      </c>
      <c r="L16" s="2" t="s">
        <v>920</v>
      </c>
      <c r="M16" s="2" t="s">
        <v>680</v>
      </c>
      <c r="N16" s="2" t="s">
        <v>978</v>
      </c>
      <c r="O16" s="17" t="s">
        <v>2166</v>
      </c>
    </row>
    <row r="17" spans="1:15">
      <c r="A17" s="2">
        <v>82273</v>
      </c>
      <c r="B17" s="2" t="s">
        <v>726</v>
      </c>
      <c r="C17" s="2" t="s">
        <v>2</v>
      </c>
      <c r="D17" s="2" t="s">
        <v>53</v>
      </c>
      <c r="E17" s="7" t="s">
        <v>2153</v>
      </c>
      <c r="F17" s="3" t="str">
        <f>HYPERLINK("https://stat100.ameba.jp/tnk47/ratio20/illustrations/card/ill_82273_tanabatatoyamaburakku03.jpg", "■")</f>
        <v>■</v>
      </c>
      <c r="G17" s="2" t="s">
        <v>734</v>
      </c>
      <c r="I17" s="2" t="str">
        <f>'1907'!I5</f>
        <v>19+16+(17+16)</v>
      </c>
      <c r="J17" s="2">
        <v>20</v>
      </c>
      <c r="K17" s="2" t="s">
        <v>920</v>
      </c>
      <c r="L17" s="2" t="s">
        <v>920</v>
      </c>
      <c r="M17" s="2" t="s">
        <v>707</v>
      </c>
      <c r="N17" s="2" t="s">
        <v>39</v>
      </c>
      <c r="O17" s="17" t="s">
        <v>2167</v>
      </c>
    </row>
    <row r="18" spans="1:15">
      <c r="A18" s="2">
        <v>82813</v>
      </c>
      <c r="B18" s="2" t="s">
        <v>726</v>
      </c>
      <c r="C18" s="2" t="s">
        <v>92</v>
      </c>
      <c r="D18" s="2" t="s">
        <v>7</v>
      </c>
      <c r="E18" s="7" t="s">
        <v>2154</v>
      </c>
      <c r="F18" s="3" t="str">
        <f>HYPERLINK("https://stat100.ameba.jp/tnk47/ratio20/illustrations/card/ill_82813_kyofunobyotoumizato03.jpg", "■")</f>
        <v>■</v>
      </c>
      <c r="G18" s="2" t="s">
        <v>746</v>
      </c>
      <c r="H18" s="2" t="s">
        <v>1560</v>
      </c>
      <c r="I18" s="2" t="str">
        <f>'1908'!I3</f>
        <v>倉庫行き</v>
      </c>
      <c r="J18" s="2">
        <v>20</v>
      </c>
      <c r="K18" s="2" t="s">
        <v>920</v>
      </c>
      <c r="L18" s="2" t="s">
        <v>920</v>
      </c>
      <c r="M18" s="2" t="s">
        <v>739</v>
      </c>
      <c r="N18" s="2" t="s">
        <v>740</v>
      </c>
      <c r="O18" s="17" t="s">
        <v>2172</v>
      </c>
    </row>
    <row r="19" spans="1:15">
      <c r="A19" s="2">
        <v>83403</v>
      </c>
      <c r="B19" s="2" t="s">
        <v>726</v>
      </c>
      <c r="C19" s="2" t="s">
        <v>92</v>
      </c>
      <c r="D19" s="2" t="s">
        <v>114</v>
      </c>
      <c r="E19" s="7" t="s">
        <v>2155</v>
      </c>
      <c r="F19" s="3" t="str">
        <f>HYPERLINK("https://stat100.ameba.jp/tnk47/ratio20/illustrations/card/ill_83403_yuenchihazadosoyoshitoshi03.jpg", "■")</f>
        <v>■</v>
      </c>
      <c r="G19" s="2" t="s">
        <v>793</v>
      </c>
      <c r="I19" s="2" t="str">
        <f>'1909'!I5</f>
        <v>20+18+(19+18),16</v>
      </c>
      <c r="J19" s="2">
        <v>20</v>
      </c>
      <c r="K19" s="2" t="s">
        <v>920</v>
      </c>
      <c r="L19" s="2" t="s">
        <v>920</v>
      </c>
      <c r="M19" s="2" t="s">
        <v>770</v>
      </c>
      <c r="N19" s="2" t="s">
        <v>1056</v>
      </c>
      <c r="O19" s="17" t="s">
        <v>2168</v>
      </c>
    </row>
    <row r="20" spans="1:15">
      <c r="A20" s="2">
        <v>84053</v>
      </c>
      <c r="B20" s="2" t="s">
        <v>726</v>
      </c>
      <c r="C20" s="2" t="s">
        <v>2</v>
      </c>
      <c r="D20" s="2" t="s">
        <v>154</v>
      </c>
      <c r="E20" s="7" t="s">
        <v>2156</v>
      </c>
      <c r="F20" s="3" t="str">
        <f>HYPERLINK("https://stat100.ameba.jp/tnk47/ratio20/illustrations/card/ill_84053_yokaitaisenjamegami03.jpg", "■")</f>
        <v>■</v>
      </c>
      <c r="G20" s="2" t="s">
        <v>801</v>
      </c>
      <c r="I20" s="2" t="str">
        <f>'1910'!I3</f>
        <v>倉庫行き</v>
      </c>
      <c r="J20" s="2">
        <v>20</v>
      </c>
      <c r="K20" s="2" t="s">
        <v>920</v>
      </c>
      <c r="L20" s="2" t="s">
        <v>920</v>
      </c>
      <c r="M20" s="2" t="s">
        <v>800</v>
      </c>
      <c r="N20" s="2" t="s">
        <v>1061</v>
      </c>
      <c r="O20" s="17" t="s">
        <v>2173</v>
      </c>
    </row>
    <row r="21" spans="1:15">
      <c r="A21" s="2">
        <v>81043</v>
      </c>
      <c r="B21" s="2" t="s">
        <v>4</v>
      </c>
      <c r="C21" s="2" t="s">
        <v>98</v>
      </c>
      <c r="D21" s="2" t="s">
        <v>93</v>
      </c>
      <c r="E21" s="2" t="s">
        <v>2157</v>
      </c>
      <c r="F21" s="3" t="str">
        <f>HYPERLINK("https://stat100.ameba.jp/tnk47/ratio20/illustrations/card/ill_81043_tsukinowaguma03.jpg", "■")</f>
        <v>■</v>
      </c>
      <c r="G21" s="2" t="s">
        <v>721</v>
      </c>
      <c r="I21" s="2" t="s">
        <v>2171</v>
      </c>
      <c r="J21" s="2">
        <v>20</v>
      </c>
      <c r="K21" s="2" t="s">
        <v>920</v>
      </c>
      <c r="L21" s="2" t="s">
        <v>920</v>
      </c>
      <c r="M21" s="2" t="s">
        <v>665</v>
      </c>
      <c r="N21" s="2" t="s">
        <v>976</v>
      </c>
      <c r="O21" s="2" t="s">
        <v>2165</v>
      </c>
    </row>
    <row r="22" spans="1:15">
      <c r="A22" s="2">
        <v>81643</v>
      </c>
      <c r="B22" s="2" t="s">
        <v>4</v>
      </c>
      <c r="C22" s="2" t="s">
        <v>103</v>
      </c>
      <c r="D22" s="2" t="s">
        <v>128</v>
      </c>
      <c r="E22" s="7" t="s">
        <v>2158</v>
      </c>
      <c r="F22" s="3" t="str">
        <f>HYPERLINK("https://stat100.ameba.jp/tnk47/ratio20/illustrations/card/ill_81643_orurinokata03.jpg", "■")</f>
        <v>■</v>
      </c>
      <c r="G22" s="2" t="s">
        <v>853</v>
      </c>
      <c r="I22" s="2" t="s">
        <v>2171</v>
      </c>
      <c r="J22" s="2">
        <v>20</v>
      </c>
      <c r="K22" s="2" t="s">
        <v>920</v>
      </c>
      <c r="L22" s="2" t="s">
        <v>920</v>
      </c>
      <c r="M22" s="2" t="s">
        <v>683</v>
      </c>
      <c r="N22" s="2" t="s">
        <v>981</v>
      </c>
      <c r="O22" s="17" t="s">
        <v>2166</v>
      </c>
    </row>
    <row r="23" spans="1:15">
      <c r="A23" s="2">
        <v>73613</v>
      </c>
      <c r="B23" s="2" t="s">
        <v>4</v>
      </c>
      <c r="C23" s="2" t="s">
        <v>6</v>
      </c>
      <c r="D23" s="2" t="s">
        <v>154</v>
      </c>
      <c r="E23" s="7" t="s">
        <v>160</v>
      </c>
      <c r="F23" s="3" t="str">
        <f>HYPERLINK("https://stat100.ameba.jp/tnk47/ratio20/illustrations/card/ill_73613_futamatatonneru03.jpg", "■")</f>
        <v>■</v>
      </c>
      <c r="G23" s="2" t="s">
        <v>521</v>
      </c>
      <c r="I23" s="2" t="s">
        <v>2171</v>
      </c>
      <c r="J23" s="2">
        <v>20</v>
      </c>
      <c r="K23" s="2" t="s">
        <v>920</v>
      </c>
      <c r="L23" s="2" t="s">
        <v>920</v>
      </c>
      <c r="M23" s="2" t="s">
        <v>159</v>
      </c>
      <c r="N23" s="2" t="s">
        <v>1007</v>
      </c>
      <c r="O23" s="17" t="s">
        <v>2167</v>
      </c>
    </row>
    <row r="24" spans="1:15">
      <c r="A24" s="2">
        <v>83413</v>
      </c>
      <c r="B24" s="2" t="s">
        <v>4</v>
      </c>
      <c r="C24" s="2" t="s">
        <v>32</v>
      </c>
      <c r="D24" s="2" t="s">
        <v>114</v>
      </c>
      <c r="E24" s="2" t="s">
        <v>2159</v>
      </c>
      <c r="F24" s="3" t="str">
        <f>HYPERLINK("https://stat100.ameba.jp/tnk47/ratio20/illustrations/card/ill_83413_viranzutoyotomihideyori03.jpg", "■")</f>
        <v>■</v>
      </c>
      <c r="G24" s="2" t="s">
        <v>791</v>
      </c>
      <c r="I24" s="2" t="s">
        <v>2171</v>
      </c>
      <c r="J24" s="2">
        <v>20</v>
      </c>
      <c r="K24" s="2" t="s">
        <v>920</v>
      </c>
      <c r="L24" s="2" t="s">
        <v>920</v>
      </c>
      <c r="M24" s="2" t="s">
        <v>774</v>
      </c>
      <c r="N24" s="2" t="s">
        <v>1058</v>
      </c>
      <c r="O24" s="17" t="s">
        <v>2168</v>
      </c>
    </row>
    <row r="25" spans="1:15">
      <c r="A25" s="2">
        <v>82283</v>
      </c>
      <c r="B25" s="2" t="s">
        <v>4</v>
      </c>
      <c r="C25" s="2" t="s">
        <v>8</v>
      </c>
      <c r="D25" s="2" t="s">
        <v>53</v>
      </c>
      <c r="E25" s="2" t="s">
        <v>2160</v>
      </c>
      <c r="F25" s="3" t="str">
        <f>HYPERLINK("https://stat100.ameba.jp/tnk47/ratio20/illustrations/card/ill_82283_uranaishioribuchan03.jpg", "■")</f>
        <v>■</v>
      </c>
      <c r="G25" s="2" t="s">
        <v>731</v>
      </c>
      <c r="H25" s="2" t="s">
        <v>1560</v>
      </c>
      <c r="I25" s="2" t="s">
        <v>2264</v>
      </c>
      <c r="J25" s="2">
        <v>20</v>
      </c>
      <c r="K25" s="2" t="s">
        <v>920</v>
      </c>
      <c r="L25" s="2" t="s">
        <v>920</v>
      </c>
      <c r="M25" s="2" t="s">
        <v>709</v>
      </c>
      <c r="N25" s="2" t="s">
        <v>991</v>
      </c>
      <c r="O25" s="17" t="s">
        <v>2169</v>
      </c>
    </row>
    <row r="26" spans="1:15">
      <c r="A26" s="2">
        <v>79883</v>
      </c>
      <c r="B26" s="2" t="s">
        <v>4</v>
      </c>
      <c r="C26" s="2" t="s">
        <v>634</v>
      </c>
      <c r="D26" s="2" t="s">
        <v>90</v>
      </c>
      <c r="E26" s="7" t="s">
        <v>2161</v>
      </c>
      <c r="F26" s="3" t="str">
        <f>HYPERLINK("https://stat100.ameba.jp/tnk47/ratio20/illustrations/card/ill_79883_kowakamai03.jpg", "■")</f>
        <v>■</v>
      </c>
      <c r="G26" s="2" t="s">
        <v>617</v>
      </c>
      <c r="I26" s="2" t="s">
        <v>2171</v>
      </c>
      <c r="J26" s="2">
        <v>20</v>
      </c>
      <c r="K26" s="2" t="s">
        <v>920</v>
      </c>
      <c r="L26" s="2" t="s">
        <v>920</v>
      </c>
      <c r="M26" s="2" t="s">
        <v>597</v>
      </c>
      <c r="N26" s="2" t="s">
        <v>1019</v>
      </c>
      <c r="O26" s="17" t="s">
        <v>2170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B31" s="2" t="s">
        <v>10</v>
      </c>
      <c r="E31" s="7"/>
      <c r="F31" s="3" t="str">
        <f>HYPERLINK("https://stat100.ameba.jp/tnk47/ratio20/illustrations/card/ill_.jpg", "■")</f>
        <v>■</v>
      </c>
      <c r="J31" s="2">
        <v>14</v>
      </c>
      <c r="K31" s="2" t="s">
        <v>920</v>
      </c>
      <c r="L31" s="2" t="s">
        <v>920</v>
      </c>
    </row>
  </sheetData>
  <phoneticPr fontId="1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E65E-BCD3-4379-AE09-89B55A95E251}">
  <dimension ref="A1:O31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7.58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customWidth="1"/>
    <col min="8" max="8" width="12.83203125" style="2" customWidth="1"/>
    <col min="9" max="9" width="17.25" style="2" customWidth="1"/>
    <col min="10" max="10" width="3.83203125" style="2" customWidth="1"/>
    <col min="11" max="12" width="7.08203125" style="2" customWidth="1"/>
    <col min="13" max="13" width="30.9140625" style="2" customWidth="1"/>
    <col min="14" max="14" width="71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E2" s="3"/>
      <c r="F2" s="3"/>
    </row>
    <row r="3" spans="1:15">
      <c r="B3" s="2" t="s">
        <v>726</v>
      </c>
      <c r="C3" s="2" t="s">
        <v>92</v>
      </c>
      <c r="E3" s="7"/>
      <c r="F3" s="3" t="str">
        <f>HYPERLINK("https://stat100.ameba.jp/tnk47/ratio20/illustrations/card/ill_.jpg", "■")</f>
        <v>■</v>
      </c>
      <c r="H3" s="2" t="s">
        <v>2270</v>
      </c>
      <c r="I3" s="2" t="s">
        <v>876</v>
      </c>
      <c r="J3" s="2">
        <v>22</v>
      </c>
      <c r="O3" s="11"/>
    </row>
    <row r="4" spans="1:15">
      <c r="B4" s="2" t="s">
        <v>726</v>
      </c>
      <c r="C4" s="2" t="s">
        <v>1621</v>
      </c>
      <c r="E4" s="7"/>
      <c r="F4" s="3" t="str">
        <f t="shared" ref="F4:F11" si="0">HYPERLINK("https://stat100.ameba.jp/tnk47/ratio20/illustrations/card/ill_.jpg", "■")</f>
        <v>■</v>
      </c>
      <c r="H4" s="2" t="s">
        <v>2271</v>
      </c>
      <c r="I4" s="2" t="s">
        <v>1585</v>
      </c>
      <c r="J4" s="2">
        <v>18</v>
      </c>
      <c r="O4" s="11"/>
    </row>
    <row r="5" spans="1:15">
      <c r="B5" s="2" t="s">
        <v>4</v>
      </c>
      <c r="E5" s="7"/>
      <c r="F5" s="3" t="str">
        <f t="shared" si="0"/>
        <v>■</v>
      </c>
      <c r="I5" s="2" t="s">
        <v>2011</v>
      </c>
      <c r="J5" s="2">
        <v>18</v>
      </c>
      <c r="O5" s="11"/>
    </row>
    <row r="6" spans="1:15">
      <c r="B6" s="2" t="s">
        <v>4</v>
      </c>
      <c r="E6" s="7"/>
      <c r="F6" s="3" t="str">
        <f t="shared" si="0"/>
        <v>■</v>
      </c>
      <c r="H6" s="2" t="s">
        <v>2272</v>
      </c>
      <c r="I6" s="2" t="s">
        <v>2266</v>
      </c>
      <c r="J6" s="2">
        <v>18</v>
      </c>
      <c r="O6" s="11"/>
    </row>
    <row r="7" spans="1:15">
      <c r="B7" s="2" t="s">
        <v>10</v>
      </c>
      <c r="E7" s="7"/>
      <c r="F7" s="3" t="str">
        <f t="shared" si="0"/>
        <v>■</v>
      </c>
      <c r="H7" s="2" t="s">
        <v>2273</v>
      </c>
      <c r="I7" s="2" t="s">
        <v>2267</v>
      </c>
      <c r="J7" s="2">
        <v>20</v>
      </c>
      <c r="O7" s="11"/>
    </row>
    <row r="8" spans="1:15">
      <c r="B8" s="2" t="s">
        <v>10</v>
      </c>
      <c r="E8" s="7"/>
      <c r="F8" s="3" t="str">
        <f t="shared" si="0"/>
        <v>■</v>
      </c>
      <c r="H8" s="2" t="s">
        <v>1791</v>
      </c>
      <c r="I8" s="2" t="s">
        <v>2268</v>
      </c>
      <c r="J8" s="2">
        <v>16</v>
      </c>
      <c r="O8" s="11"/>
    </row>
    <row r="9" spans="1:15">
      <c r="B9" s="2" t="s">
        <v>13</v>
      </c>
      <c r="E9" s="7"/>
      <c r="F9" s="3" t="str">
        <f t="shared" si="0"/>
        <v>■</v>
      </c>
      <c r="H9" s="2" t="s">
        <v>122</v>
      </c>
      <c r="I9" s="2" t="s">
        <v>2269</v>
      </c>
      <c r="J9" s="2">
        <v>14</v>
      </c>
      <c r="O9" s="11"/>
    </row>
    <row r="10" spans="1:15">
      <c r="B10" s="2" t="s">
        <v>13</v>
      </c>
      <c r="E10" s="7"/>
      <c r="F10" s="3" t="str">
        <f t="shared" si="0"/>
        <v>■</v>
      </c>
      <c r="H10" s="2" t="s">
        <v>122</v>
      </c>
      <c r="I10" s="2" t="s">
        <v>2076</v>
      </c>
      <c r="J10" s="2">
        <v>14</v>
      </c>
      <c r="O10" s="11"/>
    </row>
    <row r="11" spans="1:15">
      <c r="B11" s="2" t="s">
        <v>13</v>
      </c>
      <c r="E11" s="7"/>
      <c r="F11" s="3" t="str">
        <f t="shared" si="0"/>
        <v>■</v>
      </c>
      <c r="H11" s="2" t="s">
        <v>122</v>
      </c>
      <c r="I11" s="2" t="s">
        <v>2076</v>
      </c>
      <c r="J11" s="2">
        <v>14</v>
      </c>
      <c r="O11" s="11"/>
    </row>
    <row r="13" spans="1:15">
      <c r="A13" t="s">
        <v>1858</v>
      </c>
    </row>
    <row r="14" spans="1:15">
      <c r="A14" s="2">
        <v>94763</v>
      </c>
      <c r="B14" s="2" t="s">
        <v>1450</v>
      </c>
      <c r="C14" s="2" t="s">
        <v>2</v>
      </c>
      <c r="D14" s="2" t="s">
        <v>118</v>
      </c>
      <c r="E14" s="7" t="s">
        <v>2150</v>
      </c>
      <c r="F14" s="3" t="str">
        <f>HYPERLINK("https://stat100.ameba.jp/tnk47/ratio20/illustrations/card/ill_94763_sosenkyotenshoinatsuhime03.jpg", "■")</f>
        <v>■</v>
      </c>
      <c r="G14" s="2" t="s">
        <v>2174</v>
      </c>
      <c r="J14" s="2">
        <v>20</v>
      </c>
      <c r="K14" s="2" t="s">
        <v>920</v>
      </c>
      <c r="L14" s="2" t="s">
        <v>920</v>
      </c>
      <c r="M14" s="2" t="s">
        <v>2164</v>
      </c>
      <c r="N14" s="2" t="s">
        <v>2209</v>
      </c>
    </row>
    <row r="15" spans="1:15">
      <c r="A15" s="2">
        <v>81033</v>
      </c>
      <c r="B15" s="2" t="s">
        <v>726</v>
      </c>
      <c r="C15" s="2" t="s">
        <v>92</v>
      </c>
      <c r="D15" s="2" t="s">
        <v>93</v>
      </c>
      <c r="E15" s="2" t="s">
        <v>2151</v>
      </c>
      <c r="F15" s="3" t="str">
        <f>HYPERLINK("https://stat100.ameba.jp/tnk47/ratio20/illustrations/card/ill_81033_sakasuibarakiyanki03.jpg", "■")</f>
        <v>■</v>
      </c>
      <c r="G15" s="2" t="s">
        <v>820</v>
      </c>
      <c r="I15" s="2" t="str">
        <f>'1905'!I3</f>
        <v>15+13+(15+14)</v>
      </c>
      <c r="J15" s="2">
        <v>20</v>
      </c>
      <c r="K15" s="2" t="s">
        <v>920</v>
      </c>
      <c r="L15" s="2" t="s">
        <v>920</v>
      </c>
      <c r="M15" s="2" t="s">
        <v>663</v>
      </c>
      <c r="N15" s="2" t="s">
        <v>1048</v>
      </c>
      <c r="O15" s="2" t="s">
        <v>2165</v>
      </c>
    </row>
    <row r="16" spans="1:15">
      <c r="A16" s="2">
        <v>81633</v>
      </c>
      <c r="B16" s="2" t="s">
        <v>726</v>
      </c>
      <c r="C16" s="2" t="s">
        <v>92</v>
      </c>
      <c r="D16" s="2" t="s">
        <v>128</v>
      </c>
      <c r="E16" s="2" t="s">
        <v>2152</v>
      </c>
      <c r="F16" s="3" t="str">
        <f>HYPERLINK("https://stat100.ameba.jp/tnk47/ratio20/illustrations/card/ill_81633_amehimenogyakushunohime03.jpg", "■")</f>
        <v>■</v>
      </c>
      <c r="G16" s="2" t="s">
        <v>855</v>
      </c>
      <c r="I16" s="2" t="str">
        <f>'1906'!I3</f>
        <v>倉庫行き</v>
      </c>
      <c r="J16" s="2">
        <v>20</v>
      </c>
      <c r="K16" s="2" t="s">
        <v>920</v>
      </c>
      <c r="L16" s="2" t="s">
        <v>920</v>
      </c>
      <c r="M16" s="2" t="s">
        <v>680</v>
      </c>
      <c r="N16" s="2" t="s">
        <v>978</v>
      </c>
      <c r="O16" s="17" t="s">
        <v>2166</v>
      </c>
    </row>
    <row r="17" spans="1:15">
      <c r="A17" s="2">
        <v>82273</v>
      </c>
      <c r="B17" s="2" t="s">
        <v>726</v>
      </c>
      <c r="C17" s="2" t="s">
        <v>2</v>
      </c>
      <c r="D17" s="2" t="s">
        <v>53</v>
      </c>
      <c r="E17" s="7" t="s">
        <v>2153</v>
      </c>
      <c r="F17" s="3" t="str">
        <f>HYPERLINK("https://stat100.ameba.jp/tnk47/ratio20/illustrations/card/ill_82273_tanabatatoyamaburakku03.jpg", "■")</f>
        <v>■</v>
      </c>
      <c r="G17" s="2" t="s">
        <v>734</v>
      </c>
      <c r="I17" s="2" t="str">
        <f>'1907'!I5</f>
        <v>19+16+(17+16)</v>
      </c>
      <c r="J17" s="2">
        <v>20</v>
      </c>
      <c r="K17" s="2" t="s">
        <v>920</v>
      </c>
      <c r="L17" s="2" t="s">
        <v>920</v>
      </c>
      <c r="M17" s="2" t="s">
        <v>707</v>
      </c>
      <c r="N17" s="2" t="s">
        <v>39</v>
      </c>
      <c r="O17" s="17" t="s">
        <v>2167</v>
      </c>
    </row>
    <row r="18" spans="1:15">
      <c r="A18" s="2">
        <v>82813</v>
      </c>
      <c r="B18" s="2" t="s">
        <v>726</v>
      </c>
      <c r="C18" s="2" t="s">
        <v>92</v>
      </c>
      <c r="D18" s="2" t="s">
        <v>7</v>
      </c>
      <c r="E18" s="7" t="s">
        <v>2154</v>
      </c>
      <c r="F18" s="3" t="str">
        <f>HYPERLINK("https://stat100.ameba.jp/tnk47/ratio20/illustrations/card/ill_82813_kyofunobyotoumizato03.jpg", "■")</f>
        <v>■</v>
      </c>
      <c r="G18" s="2" t="s">
        <v>746</v>
      </c>
      <c r="I18" s="2" t="str">
        <f>'1908'!I3</f>
        <v>倉庫行き</v>
      </c>
      <c r="J18" s="2">
        <v>20</v>
      </c>
      <c r="K18" s="2" t="s">
        <v>920</v>
      </c>
      <c r="L18" s="2" t="s">
        <v>920</v>
      </c>
      <c r="M18" s="2" t="s">
        <v>739</v>
      </c>
      <c r="N18" s="2" t="s">
        <v>740</v>
      </c>
      <c r="O18" s="17" t="s">
        <v>2172</v>
      </c>
    </row>
    <row r="19" spans="1:15">
      <c r="A19" s="2">
        <v>83403</v>
      </c>
      <c r="B19" s="2" t="s">
        <v>726</v>
      </c>
      <c r="C19" s="2" t="s">
        <v>92</v>
      </c>
      <c r="D19" s="2" t="s">
        <v>114</v>
      </c>
      <c r="E19" s="7" t="s">
        <v>2155</v>
      </c>
      <c r="F19" s="3" t="str">
        <f>HYPERLINK("https://stat100.ameba.jp/tnk47/ratio20/illustrations/card/ill_83403_yuenchihazadosoyoshitoshi03.jpg", "■")</f>
        <v>■</v>
      </c>
      <c r="G19" s="2" t="s">
        <v>793</v>
      </c>
      <c r="I19" s="2" t="str">
        <f>'1909'!I5</f>
        <v>20+18+(19+18),16</v>
      </c>
      <c r="J19" s="2">
        <v>20</v>
      </c>
      <c r="K19" s="2" t="s">
        <v>920</v>
      </c>
      <c r="L19" s="2" t="s">
        <v>920</v>
      </c>
      <c r="M19" s="2" t="s">
        <v>770</v>
      </c>
      <c r="N19" s="2" t="s">
        <v>1056</v>
      </c>
      <c r="O19" s="17" t="s">
        <v>2168</v>
      </c>
    </row>
    <row r="20" spans="1:15">
      <c r="A20" s="2">
        <v>84053</v>
      </c>
      <c r="B20" s="2" t="s">
        <v>726</v>
      </c>
      <c r="C20" s="2" t="s">
        <v>2</v>
      </c>
      <c r="D20" s="2" t="s">
        <v>154</v>
      </c>
      <c r="E20" s="7" t="s">
        <v>2156</v>
      </c>
      <c r="F20" s="3" t="str">
        <f>HYPERLINK("https://stat100.ameba.jp/tnk47/ratio20/illustrations/card/ill_84053_yokaitaisenjamegami03.jpg", "■")</f>
        <v>■</v>
      </c>
      <c r="G20" s="2" t="s">
        <v>801</v>
      </c>
      <c r="I20" s="2" t="str">
        <f>'1910'!I3</f>
        <v>倉庫行き</v>
      </c>
      <c r="J20" s="2">
        <v>20</v>
      </c>
      <c r="K20" s="2" t="s">
        <v>920</v>
      </c>
      <c r="L20" s="2" t="s">
        <v>920</v>
      </c>
      <c r="M20" s="2" t="s">
        <v>800</v>
      </c>
      <c r="N20" s="2" t="s">
        <v>1061</v>
      </c>
      <c r="O20" s="17" t="s">
        <v>2173</v>
      </c>
    </row>
    <row r="21" spans="1:15">
      <c r="A21" s="2">
        <v>81043</v>
      </c>
      <c r="B21" s="2" t="s">
        <v>4</v>
      </c>
      <c r="C21" s="2" t="s">
        <v>98</v>
      </c>
      <c r="D21" s="2" t="s">
        <v>93</v>
      </c>
      <c r="E21" s="2" t="s">
        <v>2157</v>
      </c>
      <c r="F21" s="3" t="str">
        <f>HYPERLINK("https://stat100.ameba.jp/tnk47/ratio20/illustrations/card/ill_81043_tsukinowaguma03.jpg", "■")</f>
        <v>■</v>
      </c>
      <c r="G21" s="2" t="s">
        <v>721</v>
      </c>
      <c r="I21" s="2" t="s">
        <v>2171</v>
      </c>
      <c r="J21" s="2">
        <v>20</v>
      </c>
      <c r="K21" s="2" t="s">
        <v>920</v>
      </c>
      <c r="L21" s="2" t="s">
        <v>920</v>
      </c>
      <c r="M21" s="2" t="s">
        <v>665</v>
      </c>
      <c r="N21" s="2" t="s">
        <v>976</v>
      </c>
      <c r="O21" s="2" t="s">
        <v>2165</v>
      </c>
    </row>
    <row r="22" spans="1:15">
      <c r="A22" s="2">
        <v>81643</v>
      </c>
      <c r="B22" s="2" t="s">
        <v>4</v>
      </c>
      <c r="C22" s="2" t="s">
        <v>103</v>
      </c>
      <c r="D22" s="2" t="s">
        <v>128</v>
      </c>
      <c r="E22" s="7" t="s">
        <v>2158</v>
      </c>
      <c r="F22" s="3" t="str">
        <f>HYPERLINK("https://stat100.ameba.jp/tnk47/ratio20/illustrations/card/ill_81643_orurinokata03.jpg", "■")</f>
        <v>■</v>
      </c>
      <c r="G22" s="2" t="s">
        <v>853</v>
      </c>
      <c r="I22" s="2" t="s">
        <v>2171</v>
      </c>
      <c r="J22" s="2">
        <v>20</v>
      </c>
      <c r="K22" s="2" t="s">
        <v>920</v>
      </c>
      <c r="L22" s="2" t="s">
        <v>920</v>
      </c>
      <c r="M22" s="2" t="s">
        <v>683</v>
      </c>
      <c r="N22" s="2" t="s">
        <v>981</v>
      </c>
      <c r="O22" s="17" t="s">
        <v>2166</v>
      </c>
    </row>
    <row r="23" spans="1:15">
      <c r="A23" s="2">
        <v>73613</v>
      </c>
      <c r="B23" s="2" t="s">
        <v>4</v>
      </c>
      <c r="C23" s="2" t="s">
        <v>6</v>
      </c>
      <c r="D23" s="2" t="s">
        <v>154</v>
      </c>
      <c r="E23" s="7" t="s">
        <v>160</v>
      </c>
      <c r="F23" s="3" t="str">
        <f>HYPERLINK("https://stat100.ameba.jp/tnk47/ratio20/illustrations/card/ill_73613_futamatatonneru03.jpg", "■")</f>
        <v>■</v>
      </c>
      <c r="G23" s="2" t="s">
        <v>521</v>
      </c>
      <c r="I23" s="2" t="s">
        <v>2171</v>
      </c>
      <c r="J23" s="2">
        <v>20</v>
      </c>
      <c r="K23" s="2" t="s">
        <v>920</v>
      </c>
      <c r="L23" s="2" t="s">
        <v>920</v>
      </c>
      <c r="M23" s="2" t="s">
        <v>159</v>
      </c>
      <c r="N23" s="2" t="s">
        <v>1007</v>
      </c>
      <c r="O23" s="17" t="s">
        <v>2167</v>
      </c>
    </row>
    <row r="24" spans="1:15">
      <c r="A24" s="2">
        <v>83413</v>
      </c>
      <c r="B24" s="2" t="s">
        <v>4</v>
      </c>
      <c r="C24" s="2" t="s">
        <v>32</v>
      </c>
      <c r="D24" s="2" t="s">
        <v>114</v>
      </c>
      <c r="E24" s="2" t="s">
        <v>2159</v>
      </c>
      <c r="F24" s="3" t="str">
        <f>HYPERLINK("https://stat100.ameba.jp/tnk47/ratio20/illustrations/card/ill_83413_viranzutoyotomihideyori03.jpg", "■")</f>
        <v>■</v>
      </c>
      <c r="G24" s="2" t="s">
        <v>791</v>
      </c>
      <c r="I24" s="2" t="s">
        <v>2171</v>
      </c>
      <c r="J24" s="2">
        <v>20</v>
      </c>
      <c r="K24" s="2" t="s">
        <v>920</v>
      </c>
      <c r="L24" s="2" t="s">
        <v>920</v>
      </c>
      <c r="M24" s="2" t="s">
        <v>774</v>
      </c>
      <c r="N24" s="2" t="s">
        <v>1058</v>
      </c>
      <c r="O24" s="17" t="s">
        <v>2168</v>
      </c>
    </row>
    <row r="25" spans="1:15">
      <c r="A25" s="2">
        <v>82283</v>
      </c>
      <c r="B25" s="2" t="s">
        <v>4</v>
      </c>
      <c r="C25" s="2" t="s">
        <v>8</v>
      </c>
      <c r="D25" s="2" t="s">
        <v>53</v>
      </c>
      <c r="E25" s="2" t="s">
        <v>2160</v>
      </c>
      <c r="F25" s="3" t="str">
        <f>HYPERLINK("https://stat100.ameba.jp/tnk47/ratio20/illustrations/card/ill_82283_uranaishioribuchan03.jpg", "■")</f>
        <v>■</v>
      </c>
      <c r="G25" s="2" t="s">
        <v>731</v>
      </c>
      <c r="I25" s="2" t="s">
        <v>2171</v>
      </c>
      <c r="J25" s="2">
        <v>20</v>
      </c>
      <c r="K25" s="2" t="s">
        <v>920</v>
      </c>
      <c r="L25" s="2" t="s">
        <v>920</v>
      </c>
      <c r="M25" s="2" t="s">
        <v>709</v>
      </c>
      <c r="N25" s="2" t="s">
        <v>991</v>
      </c>
      <c r="O25" s="17" t="s">
        <v>2169</v>
      </c>
    </row>
    <row r="26" spans="1:15">
      <c r="A26" s="2">
        <v>79883</v>
      </c>
      <c r="B26" s="2" t="s">
        <v>4</v>
      </c>
      <c r="C26" s="2" t="s">
        <v>634</v>
      </c>
      <c r="D26" s="2" t="s">
        <v>90</v>
      </c>
      <c r="E26" s="7" t="s">
        <v>2161</v>
      </c>
      <c r="F26" s="3" t="str">
        <f>HYPERLINK("https://stat100.ameba.jp/tnk47/ratio20/illustrations/card/ill_79883_kowakamai03.jpg", "■")</f>
        <v>■</v>
      </c>
      <c r="G26" s="2" t="s">
        <v>617</v>
      </c>
      <c r="I26" s="2" t="s">
        <v>2171</v>
      </c>
      <c r="J26" s="2">
        <v>20</v>
      </c>
      <c r="K26" s="2" t="s">
        <v>920</v>
      </c>
      <c r="L26" s="2" t="s">
        <v>920</v>
      </c>
      <c r="M26" s="2" t="s">
        <v>597</v>
      </c>
      <c r="N26" s="2" t="s">
        <v>1019</v>
      </c>
      <c r="O26" s="17" t="s">
        <v>2170</v>
      </c>
    </row>
    <row r="28" spans="1:15">
      <c r="A28" s="2" t="s">
        <v>1706</v>
      </c>
    </row>
    <row r="29" spans="1:15">
      <c r="A29" s="2">
        <v>56183</v>
      </c>
      <c r="B29" s="2" t="s">
        <v>726</v>
      </c>
      <c r="C29" s="2" t="s">
        <v>49</v>
      </c>
      <c r="D29" s="2" t="s">
        <v>93</v>
      </c>
      <c r="E29" s="2" t="s">
        <v>1699</v>
      </c>
      <c r="F29" s="3" t="str">
        <f>HYPERLINK("https://stat100.ameba.jp/tnk47/ratio20/illustrations/card/ill_56183_onsempanikkukoteipenginchan03.jpg", "■")</f>
        <v>■</v>
      </c>
      <c r="G29" s="2" t="s">
        <v>1698</v>
      </c>
      <c r="J29" s="2">
        <v>14</v>
      </c>
      <c r="K29" s="2" t="s">
        <v>920</v>
      </c>
      <c r="L29" s="2" t="s">
        <v>920</v>
      </c>
      <c r="M29" s="2" t="s">
        <v>1696</v>
      </c>
      <c r="N29" s="2" t="s">
        <v>1697</v>
      </c>
      <c r="O29" s="2" t="s">
        <v>1704</v>
      </c>
    </row>
    <row r="30" spans="1:15">
      <c r="A30" s="2">
        <v>72193</v>
      </c>
      <c r="B30" s="2" t="s">
        <v>726</v>
      </c>
      <c r="C30" s="2" t="s">
        <v>32</v>
      </c>
      <c r="D30" s="2" t="s">
        <v>638</v>
      </c>
      <c r="E30" s="2" t="s">
        <v>1702</v>
      </c>
      <c r="F30" s="3" t="str">
        <f>HYPERLINK("https://stat100.ameba.jp/tnk47/ratio20/illustrations/card/ill_72193_koinoborikomyokogo03.jpg", "■")</f>
        <v>■</v>
      </c>
      <c r="G30" s="2" t="s">
        <v>1701</v>
      </c>
      <c r="J30" s="2">
        <v>14</v>
      </c>
      <c r="K30" s="2" t="s">
        <v>920</v>
      </c>
      <c r="L30" s="2" t="s">
        <v>920</v>
      </c>
      <c r="M30" s="2" t="s">
        <v>1700</v>
      </c>
      <c r="N30" s="2" t="s">
        <v>1812</v>
      </c>
      <c r="O30" s="13" t="s">
        <v>1703</v>
      </c>
    </row>
    <row r="31" spans="1:15">
      <c r="B31" s="2" t="s">
        <v>10</v>
      </c>
      <c r="E31" s="7"/>
      <c r="F31" s="3" t="str">
        <f>HYPERLINK("https://stat100.ameba.jp/tnk47/ratio20/illustrations/card/ill_.jpg", "■")</f>
        <v>■</v>
      </c>
      <c r="J31" s="2">
        <v>14</v>
      </c>
      <c r="K31" s="2" t="s">
        <v>920</v>
      </c>
      <c r="L31" s="2" t="s">
        <v>920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4DFC0-8CA5-45B3-BEBD-D2FFAA79C752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832031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1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1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72003</v>
      </c>
      <c r="B3" s="2" t="s">
        <v>726</v>
      </c>
      <c r="C3" s="2" t="s">
        <v>88</v>
      </c>
      <c r="D3" s="2" t="s">
        <v>114</v>
      </c>
      <c r="E3" s="2" t="s">
        <v>198</v>
      </c>
      <c r="F3" s="3" t="str">
        <f>HYPERLINK("https://stat100.ameba.jp/tnk47/ratio20/illustrations/card/ill_72003_nihongomoritomonobu03.jpg", "■")</f>
        <v>■</v>
      </c>
      <c r="G3" s="2" t="s">
        <v>462</v>
      </c>
      <c r="H3" s="2" t="s">
        <v>16</v>
      </c>
      <c r="I3" s="2" t="s">
        <v>21</v>
      </c>
      <c r="J3" s="2">
        <v>11</v>
      </c>
      <c r="K3" s="2">
        <v>44604</v>
      </c>
      <c r="L3" s="2">
        <v>41489</v>
      </c>
      <c r="M3" s="2" t="s">
        <v>199</v>
      </c>
      <c r="N3" s="2" t="s">
        <v>994</v>
      </c>
      <c r="O3" s="11" t="s">
        <v>1519</v>
      </c>
    </row>
    <row r="4" spans="1:15">
      <c r="A4" s="2">
        <v>72103</v>
      </c>
      <c r="B4" s="2" t="s">
        <v>726</v>
      </c>
      <c r="C4" s="2" t="s">
        <v>92</v>
      </c>
      <c r="D4" s="2" t="s">
        <v>118</v>
      </c>
      <c r="E4" s="7" t="s">
        <v>1128</v>
      </c>
      <c r="F4" s="3" t="str">
        <f>HYPERLINK("https://stat100.ameba.jp/tnk47/ratio20/illustrations/card/ill_72103_tenkurokiyoeshidaishugo03.jpg", "■")</f>
        <v>■</v>
      </c>
      <c r="G4" s="2" t="s">
        <v>475</v>
      </c>
      <c r="I4" s="2" t="s">
        <v>472</v>
      </c>
      <c r="J4" s="2">
        <v>9</v>
      </c>
      <c r="K4" s="2">
        <v>33454</v>
      </c>
      <c r="L4" s="2">
        <v>35766</v>
      </c>
      <c r="M4" s="2" t="s">
        <v>200</v>
      </c>
      <c r="N4" s="2" t="s">
        <v>995</v>
      </c>
      <c r="O4" s="11"/>
    </row>
    <row r="5" spans="1:15">
      <c r="A5" s="2">
        <v>72081</v>
      </c>
      <c r="B5" s="2" t="s">
        <v>4</v>
      </c>
      <c r="C5" s="2" t="s">
        <v>95</v>
      </c>
      <c r="D5" s="2" t="s">
        <v>118</v>
      </c>
      <c r="E5" s="7" t="s">
        <v>1129</v>
      </c>
      <c r="F5" s="3" t="str">
        <f>HYPERLINK("https://stat100.ameba.jp/tnk47/ratio20/illustrations/card/ill_72081_tenkurokiyoeshihigashinoeshi01.jpg", "■")</f>
        <v>■</v>
      </c>
      <c r="G5" s="2" t="s">
        <v>464</v>
      </c>
      <c r="H5" s="2" t="s">
        <v>241</v>
      </c>
      <c r="J5" s="2">
        <v>9</v>
      </c>
      <c r="K5" s="2">
        <v>15390</v>
      </c>
      <c r="L5" s="2">
        <v>17100</v>
      </c>
      <c r="M5" s="2" t="s">
        <v>201</v>
      </c>
      <c r="N5" s="2" t="s">
        <v>202</v>
      </c>
      <c r="O5" s="11"/>
    </row>
    <row r="6" spans="1:15">
      <c r="A6" s="2">
        <v>72091</v>
      </c>
      <c r="B6" s="2" t="s">
        <v>4</v>
      </c>
      <c r="C6" s="2" t="s">
        <v>88</v>
      </c>
      <c r="D6" s="2" t="s">
        <v>118</v>
      </c>
      <c r="E6" s="7" t="s">
        <v>1130</v>
      </c>
      <c r="F6" s="3" t="str">
        <f>HYPERLINK("https://stat100.ameba.jp/tnk47/ratio20/illustrations/card/ill_72091_tenkurokiyoeshinishinoeshi01.jpg", "■")</f>
        <v>■</v>
      </c>
      <c r="G6" s="2" t="s">
        <v>465</v>
      </c>
      <c r="H6" s="2" t="s">
        <v>242</v>
      </c>
      <c r="J6" s="2">
        <v>9</v>
      </c>
      <c r="K6" s="2">
        <v>15390</v>
      </c>
      <c r="L6" s="2">
        <v>17100</v>
      </c>
      <c r="M6" s="2" t="s">
        <v>203</v>
      </c>
      <c r="N6" s="2" t="s">
        <v>202</v>
      </c>
      <c r="O6" s="11"/>
    </row>
    <row r="7" spans="1:15">
      <c r="A7" s="2">
        <v>72013</v>
      </c>
      <c r="B7" s="2" t="s">
        <v>4</v>
      </c>
      <c r="C7" s="2" t="s">
        <v>103</v>
      </c>
      <c r="D7" s="2" t="s">
        <v>114</v>
      </c>
      <c r="E7" s="2" t="s">
        <v>204</v>
      </c>
      <c r="F7" s="3" t="str">
        <f>HYPERLINK("https://stat100.ameba.jp/tnk47/ratio20/illustrations/card/ill_72013_otegineyukihideyasu03.jpg", "■")</f>
        <v>■</v>
      </c>
      <c r="G7" s="2" t="s">
        <v>463</v>
      </c>
      <c r="H7" s="2" t="s">
        <v>397</v>
      </c>
      <c r="I7" s="2" t="s">
        <v>396</v>
      </c>
      <c r="J7" s="2">
        <v>8</v>
      </c>
      <c r="K7" s="2">
        <v>21507</v>
      </c>
      <c r="L7" s="2">
        <v>23712</v>
      </c>
      <c r="M7" s="2" t="s">
        <v>205</v>
      </c>
      <c r="N7" s="2" t="s">
        <v>996</v>
      </c>
      <c r="O7" s="11"/>
    </row>
    <row r="8" spans="1:15">
      <c r="A8" s="2">
        <v>72023</v>
      </c>
      <c r="B8" s="2" t="s">
        <v>4</v>
      </c>
      <c r="C8" s="2" t="s">
        <v>8</v>
      </c>
      <c r="D8" s="2" t="s">
        <v>114</v>
      </c>
      <c r="E8" s="2" t="s">
        <v>206</v>
      </c>
      <c r="F8" s="3" t="str">
        <f>HYPERLINK("https://stat100.ameba.jp/tnk47/ratio20/illustrations/card/ill_72023_bizenosafunenagamitsusasakikojiro03.jpg", "■")</f>
        <v>■</v>
      </c>
      <c r="G8" s="2" t="s">
        <v>394</v>
      </c>
      <c r="H8" s="2" t="s">
        <v>18</v>
      </c>
      <c r="I8" s="2" t="s">
        <v>395</v>
      </c>
      <c r="J8" s="2">
        <v>9</v>
      </c>
      <c r="K8" s="2">
        <v>26676</v>
      </c>
      <c r="L8" s="2">
        <v>24195</v>
      </c>
      <c r="M8" s="2" t="s">
        <v>207</v>
      </c>
      <c r="N8" s="2" t="s">
        <v>997</v>
      </c>
      <c r="O8" s="11"/>
    </row>
    <row r="9" spans="1:15">
      <c r="A9" s="2">
        <v>72033</v>
      </c>
      <c r="B9" s="2" t="s">
        <v>10</v>
      </c>
      <c r="C9" s="2" t="s">
        <v>98</v>
      </c>
      <c r="D9" s="2" t="s">
        <v>114</v>
      </c>
      <c r="E9" s="2" t="s">
        <v>208</v>
      </c>
      <c r="F9" s="3" t="str">
        <f>HYPERLINK("https://stat100.ameba.jp/tnk47/ratio20/illustrations/card/ill_72033_nakanotakeko03.jpg", "■")</f>
        <v>■</v>
      </c>
      <c r="G9" s="2" t="s">
        <v>279</v>
      </c>
      <c r="H9" s="2" t="s">
        <v>19</v>
      </c>
      <c r="I9" s="2" t="s">
        <v>83</v>
      </c>
      <c r="J9" s="2">
        <v>11</v>
      </c>
      <c r="K9" s="2">
        <v>19016</v>
      </c>
      <c r="L9" s="2">
        <v>22871</v>
      </c>
      <c r="M9" s="2" t="s">
        <v>209</v>
      </c>
      <c r="N9" s="2" t="s">
        <v>210</v>
      </c>
      <c r="O9" s="11"/>
    </row>
    <row r="10" spans="1:15">
      <c r="A10" s="2">
        <v>72043</v>
      </c>
      <c r="B10" s="2" t="s">
        <v>10</v>
      </c>
      <c r="C10" s="2" t="s">
        <v>12</v>
      </c>
      <c r="D10" s="2" t="s">
        <v>114</v>
      </c>
      <c r="E10" s="2" t="s">
        <v>211</v>
      </c>
      <c r="F10" s="3" t="str">
        <f>HYPERLINK("https://stat100.ameba.jp/tnk47/ratio20/illustrations/card/ill_72043_katoukiyomasa03.jpg", "■")</f>
        <v>■</v>
      </c>
      <c r="G10" s="2" t="s">
        <v>277</v>
      </c>
      <c r="H10" s="2" t="s">
        <v>64</v>
      </c>
      <c r="I10" s="2" t="s">
        <v>278</v>
      </c>
      <c r="J10" s="2">
        <v>7</v>
      </c>
      <c r="K10" s="2">
        <v>14554</v>
      </c>
      <c r="L10" s="2">
        <v>12101</v>
      </c>
      <c r="M10" s="2" t="s">
        <v>212</v>
      </c>
      <c r="N10" s="2" t="s">
        <v>213</v>
      </c>
      <c r="O10" s="11"/>
    </row>
    <row r="11" spans="1:15">
      <c r="A11" s="2">
        <v>72053</v>
      </c>
      <c r="B11" s="2" t="s">
        <v>13</v>
      </c>
      <c r="C11" s="2" t="s">
        <v>214</v>
      </c>
      <c r="D11" s="2" t="s">
        <v>114</v>
      </c>
      <c r="E11" s="2" t="s">
        <v>215</v>
      </c>
      <c r="F11" s="3" t="str">
        <f>HYPERLINK("https://stat100.ameba.jp/tnk47/ratio20/illustrations/card/ill_72053_matsuotaseko03.jpg", "■")</f>
        <v>■</v>
      </c>
      <c r="G11" s="2" t="s">
        <v>276</v>
      </c>
      <c r="H11" s="2" t="s">
        <v>122</v>
      </c>
      <c r="I11" s="2" t="s">
        <v>733</v>
      </c>
      <c r="J11" s="2">
        <v>5</v>
      </c>
      <c r="K11" s="2">
        <v>6294</v>
      </c>
      <c r="L11" s="2">
        <v>5286</v>
      </c>
      <c r="M11" s="2" t="s">
        <v>216</v>
      </c>
      <c r="N11" s="2" t="s">
        <v>217</v>
      </c>
      <c r="O11" s="11"/>
    </row>
    <row r="12" spans="1:15">
      <c r="A12" s="2">
        <v>72063</v>
      </c>
      <c r="B12" s="2" t="s">
        <v>13</v>
      </c>
      <c r="C12" s="2" t="s">
        <v>218</v>
      </c>
      <c r="D12" s="2" t="s">
        <v>90</v>
      </c>
      <c r="E12" s="2" t="s">
        <v>219</v>
      </c>
      <c r="F12" s="3" t="str">
        <f>HYPERLINK("https://stat100.ameba.jp/tnk47/ratio20/illustrations/card/ill_72063_harionna03.jpg", "■")</f>
        <v>■</v>
      </c>
      <c r="G12" s="2" t="s">
        <v>275</v>
      </c>
      <c r="H12" s="2" t="s">
        <v>122</v>
      </c>
      <c r="I12" s="2" t="s">
        <v>733</v>
      </c>
      <c r="J12" s="2">
        <v>10</v>
      </c>
      <c r="K12" s="2">
        <v>10572</v>
      </c>
      <c r="L12" s="2">
        <v>12588</v>
      </c>
      <c r="M12" s="2" t="s">
        <v>220</v>
      </c>
      <c r="N12" s="2" t="s">
        <v>108</v>
      </c>
      <c r="O12" s="11"/>
    </row>
    <row r="13" spans="1:15">
      <c r="A13" s="2">
        <v>72073</v>
      </c>
      <c r="B13" s="2" t="s">
        <v>13</v>
      </c>
      <c r="C13" s="2" t="s">
        <v>221</v>
      </c>
      <c r="D13" s="2" t="s">
        <v>151</v>
      </c>
      <c r="E13" s="2" t="s">
        <v>222</v>
      </c>
      <c r="F13" s="3" t="str">
        <f>HYPERLINK("https://stat100.ameba.jp/tnk47/ratio20/illustrations/card/ill_72073_dairimboshunkai03.jpg", "■")</f>
        <v>■</v>
      </c>
      <c r="G13" s="2" t="s">
        <v>274</v>
      </c>
      <c r="H13" s="2" t="s">
        <v>122</v>
      </c>
      <c r="I13" s="2" t="s">
        <v>733</v>
      </c>
      <c r="J13" s="2">
        <v>10</v>
      </c>
      <c r="K13" s="2">
        <v>10572</v>
      </c>
      <c r="L13" s="2">
        <v>12588</v>
      </c>
      <c r="M13" s="2" t="s">
        <v>223</v>
      </c>
      <c r="N13" s="2" t="s">
        <v>70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1CCA-D7B1-4B1A-878B-EDD0C3F24F49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832031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1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1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72793</v>
      </c>
      <c r="B3" s="2" t="s">
        <v>726</v>
      </c>
      <c r="C3" s="2" t="s">
        <v>95</v>
      </c>
      <c r="D3" s="2" t="s">
        <v>118</v>
      </c>
      <c r="E3" s="2" t="s">
        <v>173</v>
      </c>
      <c r="F3" s="3" t="str">
        <f>HYPERLINK("https://stat100.ameba.jp/tnk47/ratio20/illustrations/card/ill_72793_minomurarizaemon03.jpg", "■")</f>
        <v>■</v>
      </c>
      <c r="G3" s="2" t="s">
        <v>461</v>
      </c>
      <c r="H3" s="2" t="s">
        <v>284</v>
      </c>
      <c r="I3" s="2" t="s">
        <v>460</v>
      </c>
      <c r="J3" s="2">
        <v>11</v>
      </c>
      <c r="K3" s="2">
        <v>39934</v>
      </c>
      <c r="L3" s="2">
        <v>42967</v>
      </c>
      <c r="M3" s="2" t="s">
        <v>174</v>
      </c>
      <c r="N3" s="2" t="s">
        <v>175</v>
      </c>
      <c r="O3" s="11"/>
    </row>
    <row r="4" spans="1:15">
      <c r="A4" s="2">
        <v>72893</v>
      </c>
      <c r="B4" s="2" t="s">
        <v>726</v>
      </c>
      <c r="C4" s="2" t="s">
        <v>92</v>
      </c>
      <c r="D4" s="2" t="s">
        <v>151</v>
      </c>
      <c r="E4" s="7" t="s">
        <v>1131</v>
      </c>
      <c r="F4" s="3" t="str">
        <f>HYPERLINK("https://stat100.ameba.jp/tnk47/ratio20/illustrations/card/ill_72893_tenkurobammenjonoshobushi03.jpg", "■")</f>
        <v>■</v>
      </c>
      <c r="G4" s="2" t="s">
        <v>476</v>
      </c>
      <c r="I4" s="2" t="s">
        <v>472</v>
      </c>
      <c r="J4" s="2">
        <v>9</v>
      </c>
      <c r="K4" s="2">
        <v>37125</v>
      </c>
      <c r="L4" s="2">
        <v>34747</v>
      </c>
      <c r="M4" s="2" t="s">
        <v>176</v>
      </c>
      <c r="N4" s="2" t="s">
        <v>998</v>
      </c>
      <c r="O4" s="11"/>
    </row>
    <row r="5" spans="1:15">
      <c r="A5" s="2">
        <v>72871</v>
      </c>
      <c r="B5" s="2" t="s">
        <v>4</v>
      </c>
      <c r="C5" s="2" t="s">
        <v>95</v>
      </c>
      <c r="D5" s="2" t="s">
        <v>151</v>
      </c>
      <c r="E5" s="7" t="s">
        <v>1132</v>
      </c>
      <c r="F5" s="3" t="str">
        <f>HYPERLINK("https://stat100.ameba.jp/tnk47/ratio20/illustrations/card/ill_72871_tenkurobammenjonoshobushihigashinoitte01.jpg", "■")</f>
        <v>■</v>
      </c>
      <c r="G5" s="2" t="s">
        <v>477</v>
      </c>
      <c r="H5" s="2" t="s">
        <v>241</v>
      </c>
      <c r="J5" s="2">
        <v>9</v>
      </c>
      <c r="K5" s="2">
        <v>17100</v>
      </c>
      <c r="L5" s="2">
        <v>15390</v>
      </c>
      <c r="M5" s="2" t="s">
        <v>177</v>
      </c>
      <c r="N5" s="2" t="s">
        <v>999</v>
      </c>
      <c r="O5" s="11"/>
    </row>
    <row r="6" spans="1:15">
      <c r="A6" s="2">
        <v>72881</v>
      </c>
      <c r="B6" s="2" t="s">
        <v>4</v>
      </c>
      <c r="C6" s="2" t="s">
        <v>88</v>
      </c>
      <c r="D6" s="2" t="s">
        <v>151</v>
      </c>
      <c r="E6" s="7" t="s">
        <v>1133</v>
      </c>
      <c r="F6" s="3" t="str">
        <f>HYPERLINK("https://stat100.ameba.jp/tnk47/ratio20/illustrations/card/ill_72881_tenkurobammenjonoshobushinishinoitte01.jpg", "■")</f>
        <v>■</v>
      </c>
      <c r="G6" s="2" t="s">
        <v>478</v>
      </c>
      <c r="H6" s="2" t="s">
        <v>242</v>
      </c>
      <c r="J6" s="2">
        <v>9</v>
      </c>
      <c r="K6" s="2">
        <v>17100</v>
      </c>
      <c r="L6" s="2">
        <v>15390</v>
      </c>
      <c r="M6" s="2" t="s">
        <v>178</v>
      </c>
      <c r="N6" s="2" t="s">
        <v>1000</v>
      </c>
      <c r="O6" s="11"/>
    </row>
    <row r="7" spans="1:15">
      <c r="A7" s="2">
        <v>72803</v>
      </c>
      <c r="B7" s="2" t="s">
        <v>4</v>
      </c>
      <c r="C7" s="2" t="s">
        <v>103</v>
      </c>
      <c r="D7" s="2" t="s">
        <v>118</v>
      </c>
      <c r="E7" s="2" t="s">
        <v>179</v>
      </c>
      <c r="F7" s="3" t="str">
        <f>HYPERLINK("https://stat100.ameba.jp/tnk47/ratio20/illustrations/card/ill_72803_kawasakihachiemon03.jpg", "■")</f>
        <v>■</v>
      </c>
      <c r="G7" s="2" t="s">
        <v>459</v>
      </c>
      <c r="H7" s="2" t="s">
        <v>283</v>
      </c>
      <c r="I7" s="2" t="s">
        <v>457</v>
      </c>
      <c r="J7" s="2">
        <v>8</v>
      </c>
      <c r="K7" s="2">
        <v>23712</v>
      </c>
      <c r="L7" s="2">
        <v>21507</v>
      </c>
      <c r="M7" s="2" t="s">
        <v>180</v>
      </c>
      <c r="N7" s="2" t="s">
        <v>1001</v>
      </c>
      <c r="O7" s="11"/>
    </row>
    <row r="8" spans="1:15">
      <c r="A8" s="2">
        <v>72813</v>
      </c>
      <c r="B8" s="2" t="s">
        <v>4</v>
      </c>
      <c r="C8" s="2" t="s">
        <v>138</v>
      </c>
      <c r="D8" s="2" t="s">
        <v>118</v>
      </c>
      <c r="E8" s="2" t="s">
        <v>181</v>
      </c>
      <c r="F8" s="3" t="str">
        <f>HYPERLINK("https://stat100.ameba.jp/tnk47/ratio20/illustrations/card/ill_72813_hirosesaihei03.jpg", "■")</f>
        <v>■</v>
      </c>
      <c r="G8" s="2" t="s">
        <v>456</v>
      </c>
      <c r="H8" s="2" t="s">
        <v>250</v>
      </c>
      <c r="I8" s="2" t="s">
        <v>458</v>
      </c>
      <c r="J8" s="2">
        <v>9</v>
      </c>
      <c r="K8" s="2">
        <v>24195</v>
      </c>
      <c r="L8" s="2">
        <v>26676</v>
      </c>
      <c r="M8" s="2" t="s">
        <v>182</v>
      </c>
      <c r="N8" s="2" t="s">
        <v>1002</v>
      </c>
      <c r="O8" s="11"/>
    </row>
    <row r="9" spans="1:15">
      <c r="A9" s="2">
        <v>72823</v>
      </c>
      <c r="B9" s="2" t="s">
        <v>10</v>
      </c>
      <c r="C9" s="2" t="s">
        <v>6</v>
      </c>
      <c r="D9" s="2" t="s">
        <v>118</v>
      </c>
      <c r="E9" s="2" t="s">
        <v>183</v>
      </c>
      <c r="F9" s="3" t="str">
        <f>HYPERLINK("https://stat100.ameba.jp/tnk47/ratio20/illustrations/card/ill_72823_shimazakitoson03.jpg", "■")</f>
        <v>■</v>
      </c>
      <c r="G9" s="2" t="s">
        <v>285</v>
      </c>
      <c r="H9" s="2" t="s">
        <v>19</v>
      </c>
      <c r="I9" s="2" t="s">
        <v>83</v>
      </c>
      <c r="J9" s="2">
        <v>11</v>
      </c>
      <c r="K9" s="2">
        <v>22871</v>
      </c>
      <c r="L9" s="2">
        <v>19016</v>
      </c>
      <c r="M9" s="2" t="s">
        <v>184</v>
      </c>
      <c r="N9" s="2" t="s">
        <v>185</v>
      </c>
      <c r="O9" s="11"/>
    </row>
    <row r="10" spans="1:15">
      <c r="A10" s="2">
        <v>72833</v>
      </c>
      <c r="B10" s="2" t="s">
        <v>10</v>
      </c>
      <c r="C10" s="2" t="s">
        <v>12</v>
      </c>
      <c r="D10" s="2" t="s">
        <v>118</v>
      </c>
      <c r="E10" s="2" t="s">
        <v>186</v>
      </c>
      <c r="F10" s="3" t="str">
        <f>HYPERLINK("https://stat100.ameba.jp/tnk47/ratio20/illustrations/card/ill_72833_yasuisokken03.jpg", "■")</f>
        <v>■</v>
      </c>
      <c r="G10" s="2" t="s">
        <v>286</v>
      </c>
      <c r="H10" s="2" t="s">
        <v>64</v>
      </c>
      <c r="I10" s="2" t="s">
        <v>126</v>
      </c>
      <c r="J10" s="2">
        <v>7</v>
      </c>
      <c r="K10" s="2">
        <v>12101</v>
      </c>
      <c r="L10" s="2">
        <v>14554</v>
      </c>
      <c r="M10" s="2" t="s">
        <v>188</v>
      </c>
      <c r="N10" s="2" t="s">
        <v>187</v>
      </c>
      <c r="O10" s="11"/>
    </row>
    <row r="11" spans="1:15">
      <c r="A11" s="2">
        <v>72843</v>
      </c>
      <c r="B11" s="2" t="s">
        <v>13</v>
      </c>
      <c r="C11" s="2" t="s">
        <v>189</v>
      </c>
      <c r="D11" s="2" t="s">
        <v>118</v>
      </c>
      <c r="E11" s="2" t="s">
        <v>190</v>
      </c>
      <c r="F11" s="3" t="str">
        <f>HYPERLINK("https://stat100.ameba.jp/tnk47/ratio20/illustrations/card/ill_72843_hiragagennai03.jpg", "■")</f>
        <v>■</v>
      </c>
      <c r="G11" s="2" t="s">
        <v>282</v>
      </c>
      <c r="H11" s="2" t="s">
        <v>122</v>
      </c>
      <c r="I11" s="2" t="s">
        <v>733</v>
      </c>
      <c r="J11" s="2">
        <v>5</v>
      </c>
      <c r="K11" s="2">
        <v>6294</v>
      </c>
      <c r="L11" s="2">
        <v>5286</v>
      </c>
      <c r="M11" s="2" t="s">
        <v>191</v>
      </c>
      <c r="N11" s="2" t="s">
        <v>120</v>
      </c>
      <c r="O11" s="11"/>
    </row>
    <row r="12" spans="1:15">
      <c r="A12" s="2">
        <v>72853</v>
      </c>
      <c r="B12" s="2" t="s">
        <v>13</v>
      </c>
      <c r="C12" s="2" t="s">
        <v>15</v>
      </c>
      <c r="D12" s="2" t="s">
        <v>90</v>
      </c>
      <c r="E12" s="2" t="s">
        <v>192</v>
      </c>
      <c r="F12" s="3" t="str">
        <f>HYPERLINK("https://stat100.ameba.jp/tnk47/ratio20/illustrations/card/ill_72853_hamagurihime03.jpg", "■")</f>
        <v>■</v>
      </c>
      <c r="G12" s="2" t="s">
        <v>281</v>
      </c>
      <c r="H12" s="2" t="s">
        <v>122</v>
      </c>
      <c r="I12" s="2" t="s">
        <v>733</v>
      </c>
      <c r="J12" s="2">
        <v>10</v>
      </c>
      <c r="K12" s="2">
        <v>10572</v>
      </c>
      <c r="L12" s="2">
        <v>12588</v>
      </c>
      <c r="M12" s="2" t="s">
        <v>193</v>
      </c>
      <c r="N12" s="2" t="s">
        <v>108</v>
      </c>
      <c r="O12" s="11"/>
    </row>
    <row r="13" spans="1:15">
      <c r="A13" s="2">
        <v>72863</v>
      </c>
      <c r="B13" s="2" t="s">
        <v>13</v>
      </c>
      <c r="C13" s="2" t="s">
        <v>194</v>
      </c>
      <c r="D13" s="2" t="s">
        <v>7</v>
      </c>
      <c r="E13" s="2" t="s">
        <v>195</v>
      </c>
      <c r="F13" s="3" t="str">
        <f>HYPERLINK("https://stat100.ameba.jp/tnk47/ratio20/illustrations/card/ill_72863_katsuraotoko03.jpg", "■")</f>
        <v>■</v>
      </c>
      <c r="G13" s="2" t="s">
        <v>280</v>
      </c>
      <c r="H13" s="2" t="s">
        <v>122</v>
      </c>
      <c r="I13" s="2" t="s">
        <v>733</v>
      </c>
      <c r="J13" s="2">
        <v>10</v>
      </c>
      <c r="K13" s="2">
        <v>12588</v>
      </c>
      <c r="L13" s="2">
        <v>10572</v>
      </c>
      <c r="M13" s="2" t="s">
        <v>196</v>
      </c>
      <c r="N13" s="2" t="s">
        <v>197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0DF1B-FF2D-406A-A936-78FA86F8F66C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832031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1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1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73603</v>
      </c>
      <c r="B3" s="2" t="s">
        <v>726</v>
      </c>
      <c r="C3" s="2" t="s">
        <v>88</v>
      </c>
      <c r="D3" s="2" t="s">
        <v>154</v>
      </c>
      <c r="E3" s="2" t="s">
        <v>153</v>
      </c>
      <c r="F3" s="3" t="str">
        <f>HYPERLINK("https://stat100.ameba.jp/tnk47/ratio20/illustrations/card/ill_73603_midorogaike03.jpg", "■")</f>
        <v>■</v>
      </c>
      <c r="G3" s="2" t="s">
        <v>526</v>
      </c>
      <c r="H3" s="2" t="s">
        <v>172</v>
      </c>
      <c r="I3" s="2" t="s">
        <v>525</v>
      </c>
      <c r="J3" s="2">
        <v>11</v>
      </c>
      <c r="K3" s="2">
        <v>46592</v>
      </c>
      <c r="L3" s="2">
        <v>50112</v>
      </c>
      <c r="M3" s="2" t="s">
        <v>155</v>
      </c>
      <c r="N3" s="2" t="s">
        <v>1003</v>
      </c>
      <c r="O3" s="11" t="s">
        <v>1520</v>
      </c>
    </row>
    <row r="4" spans="1:15">
      <c r="A4" s="2">
        <v>73703</v>
      </c>
      <c r="B4" s="2" t="s">
        <v>726</v>
      </c>
      <c r="C4" s="2" t="s">
        <v>92</v>
      </c>
      <c r="D4" s="2" t="s">
        <v>7</v>
      </c>
      <c r="E4" s="7" t="s">
        <v>1134</v>
      </c>
      <c r="F4" s="3" t="str">
        <f>HYPERLINK("https://stat100.ameba.jp/tnk47/ratio20/illustrations/card/ill_73703_tenkurobakemonodaishugo03.jpg", "■")</f>
        <v>■</v>
      </c>
      <c r="G4" s="2" t="s">
        <v>522</v>
      </c>
      <c r="I4" s="2" t="s">
        <v>468</v>
      </c>
      <c r="J4" s="2">
        <v>9</v>
      </c>
      <c r="K4" s="2">
        <v>38146</v>
      </c>
      <c r="L4" s="2">
        <v>35706</v>
      </c>
      <c r="M4" s="2" t="s">
        <v>156</v>
      </c>
      <c r="N4" s="2" t="s">
        <v>1004</v>
      </c>
      <c r="O4" s="11"/>
    </row>
    <row r="5" spans="1:15">
      <c r="A5" s="2">
        <v>73681</v>
      </c>
      <c r="B5" s="2" t="s">
        <v>4</v>
      </c>
      <c r="C5" s="2" t="s">
        <v>95</v>
      </c>
      <c r="D5" s="2" t="s">
        <v>7</v>
      </c>
      <c r="E5" s="7" t="s">
        <v>1135</v>
      </c>
      <c r="F5" s="3" t="str">
        <f>HYPERLINK("https://stat100.ameba.jp/tnk47/ratio20/illustrations/card/ill_73681_tenkurobakemonodaishugohigashinihon01.jpg", "■")</f>
        <v>■</v>
      </c>
      <c r="G5" s="2" t="s">
        <v>523</v>
      </c>
      <c r="H5" s="2" t="s">
        <v>248</v>
      </c>
      <c r="J5" s="2">
        <v>9</v>
      </c>
      <c r="K5" s="2">
        <v>17100</v>
      </c>
      <c r="L5" s="2">
        <v>15390</v>
      </c>
      <c r="M5" s="2" t="s">
        <v>157</v>
      </c>
      <c r="N5" s="2" t="s">
        <v>1005</v>
      </c>
      <c r="O5" s="11"/>
    </row>
    <row r="6" spans="1:15">
      <c r="A6" s="2">
        <v>73691</v>
      </c>
      <c r="B6" s="2" t="s">
        <v>4</v>
      </c>
      <c r="C6" s="2" t="s">
        <v>88</v>
      </c>
      <c r="D6" s="2" t="s">
        <v>7</v>
      </c>
      <c r="E6" s="7" t="s">
        <v>1136</v>
      </c>
      <c r="F6" s="3" t="str">
        <f>HYPERLINK("https://stat100.ameba.jp/tnk47/ratio20/illustrations/card/ill_73691_tenkurobakemonodaishugonishinihon01.jpg", "■")</f>
        <v>■</v>
      </c>
      <c r="G6" s="2" t="s">
        <v>524</v>
      </c>
      <c r="H6" s="2" t="s">
        <v>243</v>
      </c>
      <c r="J6" s="2">
        <v>9</v>
      </c>
      <c r="K6" s="2">
        <v>17100</v>
      </c>
      <c r="L6" s="2">
        <v>15390</v>
      </c>
      <c r="M6" s="2" t="s">
        <v>158</v>
      </c>
      <c r="N6" s="2" t="s">
        <v>1006</v>
      </c>
      <c r="O6" s="11"/>
    </row>
    <row r="7" spans="1:15">
      <c r="A7" s="2">
        <v>73613</v>
      </c>
      <c r="B7" s="2" t="s">
        <v>4</v>
      </c>
      <c r="C7" s="2" t="s">
        <v>6</v>
      </c>
      <c r="D7" s="2" t="s">
        <v>33</v>
      </c>
      <c r="E7" s="2" t="s">
        <v>160</v>
      </c>
      <c r="F7" s="3" t="str">
        <f>HYPERLINK("https://stat100.ameba.jp/tnk47/ratio20/illustrations/card/ill_73613_futamatatonneru03.jpg", "■")</f>
        <v>■</v>
      </c>
      <c r="G7" s="2" t="s">
        <v>521</v>
      </c>
      <c r="H7" s="2" t="s">
        <v>256</v>
      </c>
      <c r="I7" s="2" t="s">
        <v>520</v>
      </c>
      <c r="J7" s="2">
        <v>8</v>
      </c>
      <c r="K7" s="2">
        <v>23712</v>
      </c>
      <c r="L7" s="2">
        <v>21507</v>
      </c>
      <c r="M7" s="2" t="s">
        <v>159</v>
      </c>
      <c r="N7" s="2" t="s">
        <v>1007</v>
      </c>
      <c r="O7" s="11"/>
    </row>
    <row r="8" spans="1:15">
      <c r="A8" s="2">
        <v>73623</v>
      </c>
      <c r="B8" s="2" t="s">
        <v>4</v>
      </c>
      <c r="C8" s="2" t="s">
        <v>32</v>
      </c>
      <c r="D8" s="2" t="s">
        <v>33</v>
      </c>
      <c r="E8" s="2" t="s">
        <v>34</v>
      </c>
      <c r="F8" s="3" t="str">
        <f>HYPERLINK("https://stat100.ameba.jp/tnk47/ratio20/illustrations/card/ill_73623_shichisantoge03.jpg", "■")</f>
        <v>■</v>
      </c>
      <c r="G8" s="2" t="s">
        <v>37</v>
      </c>
      <c r="H8" s="2" t="s">
        <v>35</v>
      </c>
      <c r="I8" s="2" t="s">
        <v>36</v>
      </c>
      <c r="J8" s="2">
        <v>9</v>
      </c>
      <c r="K8" s="2">
        <v>26676</v>
      </c>
      <c r="L8" s="2">
        <v>24195</v>
      </c>
      <c r="M8" s="2" t="s">
        <v>38</v>
      </c>
      <c r="N8" s="2" t="s">
        <v>1008</v>
      </c>
      <c r="O8" s="11"/>
    </row>
    <row r="9" spans="1:15">
      <c r="A9" s="2">
        <v>73633</v>
      </c>
      <c r="B9" s="2" t="s">
        <v>10</v>
      </c>
      <c r="C9" s="2" t="s">
        <v>8</v>
      </c>
      <c r="D9" s="2" t="s">
        <v>154</v>
      </c>
      <c r="E9" s="2" t="s">
        <v>161</v>
      </c>
      <c r="F9" s="3" t="str">
        <f>HYPERLINK("https://stat100.ameba.jp/tnk47/ratio20/illustrations/card/ill_73633_tenso03.jpg", "■")</f>
        <v>■</v>
      </c>
      <c r="G9" s="2" t="s">
        <v>255</v>
      </c>
      <c r="H9" s="2" t="s">
        <v>19</v>
      </c>
      <c r="I9" s="2" t="s">
        <v>83</v>
      </c>
      <c r="J9" s="2">
        <v>11</v>
      </c>
      <c r="K9" s="2">
        <v>19016</v>
      </c>
      <c r="L9" s="2">
        <v>22871</v>
      </c>
      <c r="M9" s="2" t="s">
        <v>162</v>
      </c>
      <c r="N9" s="2" t="s">
        <v>1009</v>
      </c>
      <c r="O9" s="11"/>
    </row>
    <row r="10" spans="1:15">
      <c r="A10" s="2">
        <v>73643</v>
      </c>
      <c r="B10" s="2" t="s">
        <v>10</v>
      </c>
      <c r="C10" s="2" t="s">
        <v>12</v>
      </c>
      <c r="D10" s="2" t="s">
        <v>154</v>
      </c>
      <c r="E10" s="2" t="s">
        <v>163</v>
      </c>
      <c r="F10" s="3" t="str">
        <f>HYPERLINK("https://stat100.ameba.jp/tnk47/ratio20/illustrations/card/ill_73643_shonyudo03.jpg", "■")</f>
        <v>■</v>
      </c>
      <c r="G10" s="2" t="s">
        <v>254</v>
      </c>
      <c r="H10" s="2" t="s">
        <v>64</v>
      </c>
      <c r="I10" s="2" t="s">
        <v>257</v>
      </c>
      <c r="J10" s="2">
        <v>7</v>
      </c>
      <c r="K10" s="2">
        <v>12101</v>
      </c>
      <c r="L10" s="2">
        <v>14554</v>
      </c>
      <c r="M10" s="2" t="s">
        <v>164</v>
      </c>
      <c r="N10" s="2" t="s">
        <v>165</v>
      </c>
      <c r="O10" s="11"/>
    </row>
    <row r="11" spans="1:15">
      <c r="A11" s="2">
        <v>73653</v>
      </c>
      <c r="B11" s="2" t="s">
        <v>13</v>
      </c>
      <c r="C11" s="2" t="s">
        <v>98</v>
      </c>
      <c r="D11" s="2" t="s">
        <v>154</v>
      </c>
      <c r="E11" s="2" t="s">
        <v>166</v>
      </c>
      <c r="F11" s="3" t="str">
        <f>HYPERLINK("https://stat100.ameba.jp/tnk47/ratio20/illustrations/card/ill_73653_arahabaki03.jpg", "■")</f>
        <v>■</v>
      </c>
      <c r="G11" s="2" t="s">
        <v>253</v>
      </c>
      <c r="H11" s="2" t="s">
        <v>122</v>
      </c>
      <c r="I11" s="2" t="s">
        <v>733</v>
      </c>
      <c r="J11" s="2">
        <v>5</v>
      </c>
      <c r="K11" s="2">
        <v>6294</v>
      </c>
      <c r="L11" s="2">
        <v>5286</v>
      </c>
      <c r="M11" s="2" t="s">
        <v>167</v>
      </c>
      <c r="N11" s="2" t="s">
        <v>167</v>
      </c>
      <c r="O11" s="11"/>
    </row>
    <row r="12" spans="1:15">
      <c r="A12" s="2">
        <v>73663</v>
      </c>
      <c r="B12" s="2" t="s">
        <v>13</v>
      </c>
      <c r="C12" s="2" t="s">
        <v>103</v>
      </c>
      <c r="D12" s="2" t="s">
        <v>118</v>
      </c>
      <c r="E12" s="2" t="s">
        <v>168</v>
      </c>
      <c r="F12" s="3" t="str">
        <f>HYPERLINK("https://stat100.ameba.jp/tnk47/ratio20/illustrations/card/ill_73663_takahashikorekiyo03.jpg", "■")</f>
        <v>■</v>
      </c>
      <c r="G12" s="2" t="s">
        <v>252</v>
      </c>
      <c r="H12" s="2" t="s">
        <v>122</v>
      </c>
      <c r="I12" s="2" t="s">
        <v>733</v>
      </c>
      <c r="J12" s="2">
        <v>10</v>
      </c>
      <c r="K12" s="2">
        <v>12588</v>
      </c>
      <c r="L12" s="2">
        <v>10572</v>
      </c>
      <c r="M12" s="2" t="s">
        <v>169</v>
      </c>
      <c r="N12" s="2" t="s">
        <v>56</v>
      </c>
      <c r="O12" s="11"/>
    </row>
    <row r="13" spans="1:15">
      <c r="A13" s="2">
        <v>73673</v>
      </c>
      <c r="B13" s="2" t="s">
        <v>13</v>
      </c>
      <c r="C13" s="2" t="s">
        <v>12</v>
      </c>
      <c r="D13" s="2" t="s">
        <v>128</v>
      </c>
      <c r="E13" s="2" t="s">
        <v>170</v>
      </c>
      <c r="F13" s="3" t="str">
        <f>HYPERLINK("https://stat100.ameba.jp/tnk47/ratio20/illustrations/card/ill_73673_eihime03.jpg", "■")</f>
        <v>■</v>
      </c>
      <c r="G13" s="2" t="s">
        <v>251</v>
      </c>
      <c r="H13" s="2" t="s">
        <v>122</v>
      </c>
      <c r="I13" s="2" t="s">
        <v>733</v>
      </c>
      <c r="J13" s="2">
        <v>10</v>
      </c>
      <c r="K13" s="2">
        <v>10572</v>
      </c>
      <c r="L13" s="2">
        <v>12588</v>
      </c>
      <c r="M13" s="2" t="s">
        <v>171</v>
      </c>
      <c r="N13" s="2" t="s">
        <v>70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4EB4F-559A-4B1B-9040-E430BDF49AA0}">
  <dimension ref="A1:O16"/>
  <sheetViews>
    <sheetView zoomScale="55" zoomScaleNormal="55" workbookViewId="0">
      <pane ySplit="1" topLeftCell="A2" activePane="bottomLeft" state="frozen"/>
      <selection pane="bottomLeft"/>
    </sheetView>
  </sheetViews>
  <sheetFormatPr defaultColWidth="8.9140625" defaultRowHeight="18"/>
  <cols>
    <col min="1" max="1" width="6.33203125" style="2" customWidth="1"/>
    <col min="2" max="2" width="3.9140625" style="2" customWidth="1"/>
    <col min="3" max="3" width="12.25" style="2" customWidth="1"/>
    <col min="4" max="4" width="5.4140625" style="2" customWidth="1"/>
    <col min="5" max="5" width="31" style="2" customWidth="1"/>
    <col min="6" max="6" width="3.9140625" style="2" customWidth="1"/>
    <col min="7" max="7" width="30.9140625" style="2" hidden="1" customWidth="1"/>
    <col min="8" max="8" width="12.83203125" style="2" hidden="1" customWidth="1"/>
    <col min="9" max="9" width="17.25" style="2" hidden="1" customWidth="1"/>
    <col min="10" max="10" width="3.9140625" style="2" customWidth="1"/>
    <col min="11" max="12" width="7.08203125" style="2" customWidth="1"/>
    <col min="13" max="13" width="30.9140625" style="2" hidden="1" customWidth="1"/>
    <col min="14" max="14" width="70.83203125" style="2" customWidth="1"/>
    <col min="15" max="15" width="25.83203125" style="2" customWidth="1"/>
    <col min="16" max="16384" width="8.9140625" style="2"/>
  </cols>
  <sheetData>
    <row r="1" spans="1:15" s="1" customFormat="1">
      <c r="A1" s="4" t="s">
        <v>703</v>
      </c>
      <c r="B1" s="4" t="s">
        <v>22</v>
      </c>
      <c r="C1" s="4" t="s">
        <v>23</v>
      </c>
      <c r="D1" s="4" t="s">
        <v>24</v>
      </c>
      <c r="E1" s="4" t="s">
        <v>25</v>
      </c>
      <c r="F1" s="4" t="s">
        <v>1081</v>
      </c>
      <c r="G1" s="4" t="s">
        <v>725</v>
      </c>
      <c r="H1" s="5" t="s">
        <v>26</v>
      </c>
      <c r="I1" s="5" t="s">
        <v>27</v>
      </c>
      <c r="J1" s="5" t="s">
        <v>28</v>
      </c>
      <c r="K1" s="5" t="s">
        <v>29</v>
      </c>
      <c r="L1" s="5" t="s">
        <v>30</v>
      </c>
      <c r="M1" s="5" t="s">
        <v>31</v>
      </c>
      <c r="N1" s="5" t="s">
        <v>1304</v>
      </c>
      <c r="O1" s="5" t="s">
        <v>1512</v>
      </c>
    </row>
    <row r="2" spans="1:15">
      <c r="F2" s="3"/>
    </row>
    <row r="3" spans="1:15">
      <c r="A3" s="2">
        <v>74423</v>
      </c>
      <c r="B3" s="2" t="s">
        <v>726</v>
      </c>
      <c r="C3" s="2" t="s">
        <v>5</v>
      </c>
      <c r="D3" s="2" t="s">
        <v>1</v>
      </c>
      <c r="E3" s="2" t="s">
        <v>85</v>
      </c>
      <c r="F3" s="3" t="str">
        <f>HYPERLINK("https://stat100.ameba.jp/tnk47/ratio20/illustrations/card/ill_74423_kainanhoshi03.jpg", "■")</f>
        <v>■</v>
      </c>
      <c r="G3" s="2" t="s">
        <v>86</v>
      </c>
      <c r="H3" s="2" t="s">
        <v>87</v>
      </c>
      <c r="I3" s="2" t="s">
        <v>702</v>
      </c>
      <c r="J3" s="2">
        <v>11</v>
      </c>
      <c r="K3" s="2">
        <v>45832</v>
      </c>
      <c r="L3" s="2">
        <v>42623</v>
      </c>
      <c r="M3" s="2" t="s">
        <v>127</v>
      </c>
      <c r="N3" s="2" t="s">
        <v>1010</v>
      </c>
      <c r="O3" s="11" t="s">
        <v>1521</v>
      </c>
    </row>
    <row r="4" spans="1:15">
      <c r="A4" s="2">
        <v>74523</v>
      </c>
      <c r="B4" s="2" t="s">
        <v>726</v>
      </c>
      <c r="C4" s="2" t="s">
        <v>92</v>
      </c>
      <c r="D4" s="2" t="s">
        <v>128</v>
      </c>
      <c r="E4" s="7" t="s">
        <v>1137</v>
      </c>
      <c r="F4" s="3" t="str">
        <f>HYPERLINK("https://stat100.ameba.jp/tnk47/ratio20/illustrations/card/ill_74523_tenkurosamasutorimizugibijonokyoen03.jpg", "■")</f>
        <v>■</v>
      </c>
      <c r="G4" s="2" t="s">
        <v>574</v>
      </c>
      <c r="I4" s="2" t="s">
        <v>577</v>
      </c>
      <c r="J4" s="2">
        <v>9</v>
      </c>
      <c r="K4" s="2">
        <v>33454</v>
      </c>
      <c r="L4" s="2">
        <v>35766</v>
      </c>
      <c r="M4" s="2" t="s">
        <v>129</v>
      </c>
      <c r="N4" s="2" t="s">
        <v>1011</v>
      </c>
      <c r="O4" s="11"/>
    </row>
    <row r="5" spans="1:15">
      <c r="A5" s="2">
        <v>74501</v>
      </c>
      <c r="B5" s="2" t="s">
        <v>4</v>
      </c>
      <c r="C5" s="2" t="s">
        <v>95</v>
      </c>
      <c r="D5" s="2" t="s">
        <v>128</v>
      </c>
      <c r="E5" s="7" t="s">
        <v>1138</v>
      </c>
      <c r="F5" s="3" t="str">
        <f>HYPERLINK("https://stat100.ameba.jp/tnk47/ratio20/illustrations/card/ill_74501_tenkurosamasutorihigashinohamabe01.jpg", "■")</f>
        <v>■</v>
      </c>
      <c r="G5" s="2" t="s">
        <v>575</v>
      </c>
      <c r="H5" s="2" t="s">
        <v>244</v>
      </c>
      <c r="J5" s="2">
        <v>9</v>
      </c>
      <c r="K5" s="2">
        <v>15390</v>
      </c>
      <c r="L5" s="2">
        <v>17100</v>
      </c>
      <c r="M5" s="2" t="s">
        <v>130</v>
      </c>
      <c r="N5" s="2" t="s">
        <v>1012</v>
      </c>
      <c r="O5" s="11"/>
    </row>
    <row r="6" spans="1:15">
      <c r="A6" s="2">
        <v>74511</v>
      </c>
      <c r="B6" s="2" t="s">
        <v>4</v>
      </c>
      <c r="C6" s="2" t="s">
        <v>88</v>
      </c>
      <c r="D6" s="2" t="s">
        <v>128</v>
      </c>
      <c r="E6" s="7" t="s">
        <v>1139</v>
      </c>
      <c r="F6" s="3" t="str">
        <f>HYPERLINK("https://stat100.ameba.jp/tnk47/ratio20/illustrations/card/ill_74511_tenkurosamasutorinishinohamabe01.jpg", "■")</f>
        <v>■</v>
      </c>
      <c r="G6" s="2" t="s">
        <v>576</v>
      </c>
      <c r="H6" s="2" t="s">
        <v>243</v>
      </c>
      <c r="J6" s="2">
        <v>9</v>
      </c>
      <c r="K6" s="2">
        <v>15390</v>
      </c>
      <c r="L6" s="2">
        <v>17100</v>
      </c>
      <c r="M6" s="2" t="s">
        <v>131</v>
      </c>
      <c r="N6" s="2" t="s">
        <v>1012</v>
      </c>
      <c r="O6" s="11"/>
    </row>
    <row r="7" spans="1:15">
      <c r="A7" s="2">
        <v>74433</v>
      </c>
      <c r="B7" s="2" t="s">
        <v>4</v>
      </c>
      <c r="C7" s="2" t="s">
        <v>103</v>
      </c>
      <c r="D7" s="2" t="s">
        <v>7</v>
      </c>
      <c r="E7" s="2" t="s">
        <v>132</v>
      </c>
      <c r="F7" s="3" t="str">
        <f>HYPERLINK("https://stat100.ameba.jp/tnk47/ratio20/illustrations/card/ill_74433_hosogyo03.jpg", "■")</f>
        <v>■</v>
      </c>
      <c r="G7" s="2" t="s">
        <v>240</v>
      </c>
      <c r="H7" s="2" t="s">
        <v>238</v>
      </c>
      <c r="I7" s="2" t="s">
        <v>239</v>
      </c>
      <c r="J7" s="2">
        <v>8</v>
      </c>
      <c r="K7" s="2">
        <v>21507</v>
      </c>
      <c r="L7" s="2">
        <v>23712</v>
      </c>
      <c r="M7" s="2" t="s">
        <v>133</v>
      </c>
      <c r="N7" s="2" t="s">
        <v>1013</v>
      </c>
      <c r="O7" s="11"/>
    </row>
    <row r="8" spans="1:15">
      <c r="A8" s="2">
        <v>74443</v>
      </c>
      <c r="B8" s="2" t="s">
        <v>4</v>
      </c>
      <c r="C8" s="2" t="s">
        <v>8</v>
      </c>
      <c r="D8" s="2" t="s">
        <v>7</v>
      </c>
      <c r="E8" s="2" t="s">
        <v>134</v>
      </c>
      <c r="F8" s="3" t="str">
        <f>HYPERLINK("https://stat100.ameba.jp/tnk47/ratio20/illustrations/card/ill_74443_heikegani03.jpg", "■")</f>
        <v>■</v>
      </c>
      <c r="G8" s="2" t="s">
        <v>224</v>
      </c>
      <c r="H8" s="2" t="s">
        <v>35</v>
      </c>
      <c r="I8" s="2" t="s">
        <v>36</v>
      </c>
      <c r="J8" s="2">
        <v>9</v>
      </c>
      <c r="K8" s="2">
        <v>26676</v>
      </c>
      <c r="L8" s="2">
        <v>24195</v>
      </c>
      <c r="M8" s="2" t="s">
        <v>135</v>
      </c>
      <c r="N8" s="2" t="s">
        <v>1014</v>
      </c>
      <c r="O8" s="11" t="s">
        <v>1538</v>
      </c>
    </row>
    <row r="9" spans="1:15">
      <c r="A9" s="2">
        <v>74453</v>
      </c>
      <c r="B9" s="2" t="s">
        <v>10</v>
      </c>
      <c r="C9" s="2" t="s">
        <v>98</v>
      </c>
      <c r="D9" s="2" t="s">
        <v>7</v>
      </c>
      <c r="E9" s="2" t="s">
        <v>136</v>
      </c>
      <c r="F9" s="3" t="str">
        <f>HYPERLINK("https://stat100.ameba.jp/tnk47/ratio20/illustrations/card/ill_74453_matsukawahime03.jpg", "■")</f>
        <v>■</v>
      </c>
      <c r="G9" s="2" t="s">
        <v>233</v>
      </c>
      <c r="H9" s="2" t="s">
        <v>19</v>
      </c>
      <c r="I9" s="2" t="s">
        <v>83</v>
      </c>
      <c r="J9" s="2">
        <v>11</v>
      </c>
      <c r="K9" s="2">
        <v>19016</v>
      </c>
      <c r="L9" s="2">
        <v>22871</v>
      </c>
      <c r="M9" s="2" t="s">
        <v>137</v>
      </c>
      <c r="N9" s="2" t="s">
        <v>1015</v>
      </c>
      <c r="O9" s="11"/>
    </row>
    <row r="10" spans="1:15">
      <c r="A10" s="2">
        <v>74463</v>
      </c>
      <c r="B10" s="2" t="s">
        <v>10</v>
      </c>
      <c r="C10" s="2" t="s">
        <v>138</v>
      </c>
      <c r="D10" s="2" t="s">
        <v>7</v>
      </c>
      <c r="E10" s="2" t="s">
        <v>139</v>
      </c>
      <c r="F10" s="3" t="str">
        <f>HYPERLINK("https://stat100.ameba.jp/tnk47/ratio20/illustrations/card/ill_74463_hoihoibi03.jpg", "■")</f>
        <v>■</v>
      </c>
      <c r="G10" s="2" t="s">
        <v>237</v>
      </c>
      <c r="H10" s="2" t="s">
        <v>64</v>
      </c>
      <c r="I10" s="2" t="s">
        <v>126</v>
      </c>
      <c r="J10" s="2">
        <v>7</v>
      </c>
      <c r="K10" s="2">
        <v>14554</v>
      </c>
      <c r="L10" s="2">
        <v>12101</v>
      </c>
      <c r="M10" s="2" t="s">
        <v>140</v>
      </c>
      <c r="N10" s="2" t="s">
        <v>141</v>
      </c>
      <c r="O10" s="11"/>
    </row>
    <row r="11" spans="1:15">
      <c r="A11" s="2">
        <v>74473</v>
      </c>
      <c r="B11" s="2" t="s">
        <v>13</v>
      </c>
      <c r="C11" s="2" t="s">
        <v>142</v>
      </c>
      <c r="D11" s="2" t="s">
        <v>7</v>
      </c>
      <c r="E11" s="2" t="s">
        <v>143</v>
      </c>
      <c r="F11" s="3" t="str">
        <f>HYPERLINK("https://stat100.ameba.jp/tnk47/ratio20/illustrations/card/ill_74473_mamedanuki03.jpg", "■")</f>
        <v>■</v>
      </c>
      <c r="G11" s="2" t="s">
        <v>234</v>
      </c>
      <c r="H11" s="2" t="s">
        <v>122</v>
      </c>
      <c r="I11" s="2" t="s">
        <v>121</v>
      </c>
      <c r="J11" s="2">
        <v>5</v>
      </c>
      <c r="K11" s="2">
        <v>5286</v>
      </c>
      <c r="L11" s="2">
        <v>6294</v>
      </c>
      <c r="M11" s="2" t="s">
        <v>144</v>
      </c>
      <c r="N11" s="2" t="s">
        <v>145</v>
      </c>
      <c r="O11" s="11"/>
    </row>
    <row r="12" spans="1:15">
      <c r="A12" s="2">
        <v>74483</v>
      </c>
      <c r="B12" s="2" t="s">
        <v>13</v>
      </c>
      <c r="C12" s="2" t="s">
        <v>146</v>
      </c>
      <c r="D12" s="2" t="s">
        <v>93</v>
      </c>
      <c r="E12" s="2" t="s">
        <v>147</v>
      </c>
      <c r="F12" s="3" t="str">
        <f>HYPERLINK("https://stat100.ameba.jp/tnk47/ratio20/illustrations/card/ill_74483_utatsuzaurusu03.jpg", "■")</f>
        <v>■</v>
      </c>
      <c r="G12" s="2" t="s">
        <v>235</v>
      </c>
      <c r="H12" s="2" t="s">
        <v>122</v>
      </c>
      <c r="I12" s="2" t="s">
        <v>123</v>
      </c>
      <c r="J12" s="2">
        <v>10</v>
      </c>
      <c r="K12" s="2">
        <v>12588</v>
      </c>
      <c r="L12" s="2">
        <v>10572</v>
      </c>
      <c r="M12" s="2" t="s">
        <v>148</v>
      </c>
      <c r="N12" s="2" t="s">
        <v>149</v>
      </c>
      <c r="O12" s="11"/>
    </row>
    <row r="13" spans="1:15">
      <c r="A13" s="2">
        <v>74493</v>
      </c>
      <c r="B13" s="2" t="s">
        <v>13</v>
      </c>
      <c r="C13" s="2" t="s">
        <v>103</v>
      </c>
      <c r="D13" s="2" t="s">
        <v>151</v>
      </c>
      <c r="E13" s="2" t="s">
        <v>150</v>
      </c>
      <c r="F13" s="3" t="str">
        <f>HYPERLINK("https://stat100.ameba.jp/tnk47/ratio20/illustrations/card/ill_74493_kamoreiko03.jpg", "■")</f>
        <v>■</v>
      </c>
      <c r="G13" s="2" t="s">
        <v>236</v>
      </c>
      <c r="H13" s="2" t="s">
        <v>122</v>
      </c>
      <c r="I13" s="2" t="s">
        <v>123</v>
      </c>
      <c r="J13" s="2">
        <v>10</v>
      </c>
      <c r="K13" s="2">
        <v>10572</v>
      </c>
      <c r="L13" s="2">
        <v>12588</v>
      </c>
      <c r="M13" s="2" t="s">
        <v>152</v>
      </c>
      <c r="N13" s="2" t="s">
        <v>14</v>
      </c>
      <c r="O13" s="11"/>
    </row>
    <row r="14" spans="1:15">
      <c r="F14" s="3"/>
    </row>
    <row r="15" spans="1:15">
      <c r="F15" s="3"/>
    </row>
    <row r="16" spans="1:15">
      <c r="F16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54</vt:i4>
      </vt:variant>
    </vt:vector>
  </HeadingPairs>
  <TitlesOfParts>
    <vt:vector size="54" baseType="lpstr">
      <vt:lpstr>1608</vt:lpstr>
      <vt:lpstr>1801</vt:lpstr>
      <vt:lpstr>1802</vt:lpstr>
      <vt:lpstr>1803</vt:lpstr>
      <vt:lpstr>1804</vt:lpstr>
      <vt:lpstr>1805</vt:lpstr>
      <vt:lpstr>1806</vt:lpstr>
      <vt:lpstr>1807</vt:lpstr>
      <vt:lpstr>1808</vt:lpstr>
      <vt:lpstr>1809</vt:lpstr>
      <vt:lpstr>1810←</vt:lpstr>
      <vt:lpstr>1811</vt:lpstr>
      <vt:lpstr>1812</vt:lpstr>
      <vt:lpstr>1901</vt:lpstr>
      <vt:lpstr>1902</vt:lpstr>
      <vt:lpstr>1903</vt:lpstr>
      <vt:lpstr>1904</vt:lpstr>
      <vt:lpstr>1905</vt:lpstr>
      <vt:lpstr>1906</vt:lpstr>
      <vt:lpstr>1907</vt:lpstr>
      <vt:lpstr>1908</vt:lpstr>
      <vt:lpstr>1909</vt:lpstr>
      <vt:lpstr>1910</vt:lpstr>
      <vt:lpstr>1911</vt:lpstr>
      <vt:lpstr>1912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2101</vt:lpstr>
      <vt:lpstr>2102</vt:lpstr>
      <vt:lpstr>2103</vt:lpstr>
      <vt:lpstr>2104</vt:lpstr>
      <vt:lpstr>2105</vt:lpstr>
      <vt:lpstr>2106</vt:lpstr>
      <vt:lpstr>2107</vt:lpstr>
      <vt:lpstr>2108</vt:lpstr>
      <vt:lpstr>2109</vt:lpstr>
      <vt:lpstr>2110</vt:lpstr>
      <vt:lpstr>2111</vt:lpstr>
      <vt:lpstr>2112</vt:lpstr>
      <vt:lpstr>2201</vt:lpstr>
      <vt:lpstr>2202</vt:lpstr>
      <vt:lpstr>2203</vt:lpstr>
      <vt:lpstr>2204</vt:lpstr>
      <vt:lpstr>テンプレ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2022-05-04T13:08:30Z</dcterms:modified>
</cp:coreProperties>
</file>